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2570" tabRatio="598" activeTab="0"/>
  </bookViews>
  <sheets>
    <sheet name="Ingresos" sheetId="1" r:id="rId1"/>
    <sheet name="Resumen Ingresos" sheetId="2" r:id="rId2"/>
    <sheet name="Gastos " sheetId="3" r:id="rId3"/>
    <sheet name="Resumen Gastos" sheetId="4" r:id="rId4"/>
  </sheets>
  <definedNames>
    <definedName name="_xlnm.Print_Titles" localSheetId="2">'Gastos '!$6:$7</definedName>
    <definedName name="_xlnm.Print_Titles" localSheetId="0">'Ingresos'!$7:$8</definedName>
  </definedNames>
  <calcPr fullCalcOnLoad="1"/>
</workbook>
</file>

<file path=xl/sharedStrings.xml><?xml version="1.0" encoding="utf-8"?>
<sst xmlns="http://schemas.openxmlformats.org/spreadsheetml/2006/main" count="243" uniqueCount="221">
  <si>
    <t xml:space="preserve">   1. ACCIONES PASTORALES Y ASISTENCIALES</t>
  </si>
  <si>
    <t xml:space="preserve">   1.1. Vicarías</t>
  </si>
  <si>
    <t xml:space="preserve">   1.3. Organismos de Corresponsabilidad</t>
  </si>
  <si>
    <t xml:space="preserve">   1.4. Ayuda a la Iglesia Universal</t>
  </si>
  <si>
    <t xml:space="preserve">   1.5. Varios</t>
  </si>
  <si>
    <t xml:space="preserve">   2. RETRIBUCIÓN DEL CLERO Y OTRO PERSONAL RESPONS. PASTORAL</t>
  </si>
  <si>
    <t xml:space="preserve">   4. APORTACIÓN A LOS CENTROS DE FORMACIÓN</t>
  </si>
  <si>
    <t xml:space="preserve">   5.1. Conservación de edificios</t>
  </si>
  <si>
    <t xml:space="preserve">   5.2. Gastos de Funcionamiento</t>
  </si>
  <si>
    <t xml:space="preserve">   6. GASTOS EXTRAORDINARIOS</t>
  </si>
  <si>
    <t xml:space="preserve"> </t>
  </si>
  <si>
    <t xml:space="preserve">   1. APORTACIONES VOLUNTARIAS DE LOS FIELES</t>
  </si>
  <si>
    <t xml:space="preserve">   3. INGRESOS DE PATRIMONIO Y OTRAS ACTIVIDADES</t>
  </si>
  <si>
    <t xml:space="preserve">   4. INGRESOS DIVERSOS</t>
  </si>
  <si>
    <t xml:space="preserve">   5. INGRESOS EXTRAORDINARIOS</t>
  </si>
  <si>
    <t>DIÓCESIS DE CANARIAS</t>
  </si>
  <si>
    <t xml:space="preserve">   2. APORTAC. VOLUNTARIAS POR ASIGNACIÓN TRIBUTARIA</t>
  </si>
  <si>
    <t xml:space="preserve">   5. CONSERVACIÓN DE EDIF. Y GTOS. DE  FUNCIONAMIENTO</t>
  </si>
  <si>
    <t xml:space="preserve">           CAPITULO DE INGRESOS</t>
  </si>
  <si>
    <t>DIFERENCIA</t>
  </si>
  <si>
    <t>%</t>
  </si>
  <si>
    <t>Presupuestos</t>
  </si>
  <si>
    <t>Desviación</t>
  </si>
  <si>
    <t xml:space="preserve">   2. APORTACIONES VOLUNTARIAS POR ASIGNACIÓN TRIBUTARIA</t>
  </si>
  <si>
    <t xml:space="preserve">   TOTAL GENERAL</t>
  </si>
  <si>
    <t>Presupuesto</t>
  </si>
  <si>
    <t xml:space="preserve">                 VALOR EN EUROS</t>
  </si>
  <si>
    <t xml:space="preserve">DIÓCESIS DE CANARIAS </t>
  </si>
  <si>
    <t>Administración Diocesana</t>
  </si>
  <si>
    <t>CAPÍTULO DE INGRESOS</t>
  </si>
  <si>
    <t xml:space="preserve">           CAPITULO DE GASTOS</t>
  </si>
  <si>
    <t xml:space="preserve">                VALOR EN EUROS</t>
  </si>
  <si>
    <t xml:space="preserve">   1. ACCIONES PASTORALES Y ASISTENCIALES </t>
  </si>
  <si>
    <t xml:space="preserve">   2. RETRIBUCIÓN DEL CLERO Y OTRO PERSONAL DE RESP.PASTORAL</t>
  </si>
  <si>
    <t xml:space="preserve">   3. RETRIBUCIÓN SEGLARES</t>
  </si>
  <si>
    <t>CAPÍTULO DE GASTOS</t>
  </si>
  <si>
    <t>RESUMEN COMPARATIVO - CAPÍTULOS DE INGRESOS</t>
  </si>
  <si>
    <t xml:space="preserve">   5. CONSERVACIÓN EDIFICIOS  Y GASTOS DE FUNCIONAMIENTO </t>
  </si>
  <si>
    <t>RESUMEN COMPARATIVO - CAPÍTULOS DE GASTOS</t>
  </si>
  <si>
    <t xml:space="preserve">   1.2. Secretariados, Delegaciones, Movimientos…</t>
  </si>
  <si>
    <t>2.4.     C.E.E. Seguros  Sociales Clero</t>
  </si>
  <si>
    <t>2.1.     Conferencia Episcopal Española</t>
  </si>
  <si>
    <t>2.2.     Insularidad A</t>
  </si>
  <si>
    <t>2.3.     Insularidad B</t>
  </si>
  <si>
    <t>3.2.    Intereses Cuentas Corrientes</t>
  </si>
  <si>
    <t>3.3.    Dividendos de la COPE</t>
  </si>
  <si>
    <t>3.5.    Canon garajes Vega S. José</t>
  </si>
  <si>
    <t>4.3.    Aportación COPE - Complemento Nóminas</t>
  </si>
  <si>
    <t xml:space="preserve">   TOTAL INGRESOS ORDINARIOS….................</t>
  </si>
  <si>
    <t xml:space="preserve">   TOTAL GENERAL………….................…..</t>
  </si>
  <si>
    <t xml:space="preserve">   TOTAL GASTOS ORDINARIOS ……..........……………………</t>
  </si>
  <si>
    <t xml:space="preserve">   TOTAL GENERAL……………..…………</t>
  </si>
  <si>
    <t>4.1.    Devolución de préstamos personales y parroquiales</t>
  </si>
  <si>
    <t xml:space="preserve">   3. RETRIBUCIÓN DE SEGLARES (OBISPADO)</t>
  </si>
  <si>
    <t>1.1.        Vicaría General</t>
  </si>
  <si>
    <t>1.2.        Vicaría Judicial</t>
  </si>
  <si>
    <t>1.3.        Vicaría de Las Palmas de Gran Canaria</t>
  </si>
  <si>
    <t>1.4.        Vicaría Centro - Norte</t>
  </si>
  <si>
    <t>1.5.        Vicaría Sur</t>
  </si>
  <si>
    <t>1.5.1.    Publicaciones</t>
  </si>
  <si>
    <t>2.1.       Retribución del Clero</t>
  </si>
  <si>
    <t>2.2.       Religiosos y Otro personal de Resp. Pastoral</t>
  </si>
  <si>
    <t>2.3.       Complementos a Sacerdotes Jubilados</t>
  </si>
  <si>
    <t>3.1.       Nómina Seglares</t>
  </si>
  <si>
    <t>3.2.       Seguridad Social Seglares</t>
  </si>
  <si>
    <t xml:space="preserve">4.1.       ISTIC </t>
  </si>
  <si>
    <t>4.2.       Colegio Español en Roma</t>
  </si>
  <si>
    <t>4.3.       Complementos de formación</t>
  </si>
  <si>
    <t xml:space="preserve">4.4.       Archivo Histórico Diocesano </t>
  </si>
  <si>
    <t xml:space="preserve">5.1.1.    Reparaciones ordinarias </t>
  </si>
  <si>
    <t>5.1.2.    Seguros incendios y responsabilidad civil</t>
  </si>
  <si>
    <t>5.1.3.    Ayudas a Parroquias</t>
  </si>
  <si>
    <t>5.1.4.    Préstamos a Parroquias</t>
  </si>
  <si>
    <t>5.1.5.    Estudio y Catalogación del Patrimonio Diocesano</t>
  </si>
  <si>
    <t>5.1.6.    Conservación Patrimonio Histórico</t>
  </si>
  <si>
    <t>5.2.1.    Reparación, Conservación y Mantenimiento</t>
  </si>
  <si>
    <t>5.2.2.    Servicios Bancarios y Similares</t>
  </si>
  <si>
    <t>5.2.4.    Material de Oficina</t>
  </si>
  <si>
    <t>5.2.5.    Material de Limpieza</t>
  </si>
  <si>
    <t>5.2.6.    Correspondencia</t>
  </si>
  <si>
    <t>5.2.7.    Teléfonos y Fax</t>
  </si>
  <si>
    <t>5.2.8.    Revistas y Periódicos</t>
  </si>
  <si>
    <t>5.2.9.    Imprevistos</t>
  </si>
  <si>
    <t>5.2.10.  Tributos</t>
  </si>
  <si>
    <t>5.2.12.  Mobiliario</t>
  </si>
  <si>
    <t>6.1.       Reparaciones extraordinarias</t>
  </si>
  <si>
    <t>Consolidado</t>
  </si>
  <si>
    <t xml:space="preserve">5.1.7.    Amortización de créditos </t>
  </si>
  <si>
    <t>5.2.11.  Vehículos (Mantenimiento / Gasolina)</t>
  </si>
  <si>
    <t>1.3.1.    Consejo Pastoral Diocesano</t>
  </si>
  <si>
    <t>1.3.2.    Consejo Presbiteral</t>
  </si>
  <si>
    <t>1.3.4.    Consejo de Asuntos Económico Diocesano</t>
  </si>
  <si>
    <t>1.3.5.    Asesoramiento</t>
  </si>
  <si>
    <t>1.3.6.    Cabildo Catedral</t>
  </si>
  <si>
    <t>1.3.7.    Comisión Técnica</t>
  </si>
  <si>
    <t>5.2.3.    Suministros (Agua , Luz y Comunidad)</t>
  </si>
  <si>
    <t>ADMINISTRACIÓN DIOCESANA</t>
  </si>
  <si>
    <t xml:space="preserve">3.1.    Intereses Plazo Fijo </t>
  </si>
  <si>
    <t>3.13.  Ingresos Archivo Histórico Diocesano</t>
  </si>
  <si>
    <t>1.3.3.    Colegio de Arciprestes</t>
  </si>
  <si>
    <t>1.2.1.     Delegación para el Clero</t>
  </si>
  <si>
    <t>1.2.2.     Delegación de Apostolado Seglar</t>
  </si>
  <si>
    <t>1.2.3 .    Delegación de Vida Consagrada</t>
  </si>
  <si>
    <t>1.2.4.     Delegación de Patrimonio Histórico</t>
  </si>
  <si>
    <t>1.2.5.     Secretariado de Pastoral de la Carretera</t>
  </si>
  <si>
    <t>1.2.7.     Secretariado de Ecumenismo</t>
  </si>
  <si>
    <t>1.2.8.     Secretariado de Liturgia</t>
  </si>
  <si>
    <t>1.2.9.     Secretariado de Medios de Comunicación</t>
  </si>
  <si>
    <t>1.2.10.   Secretariado de Misiones</t>
  </si>
  <si>
    <t>1.2.11.   Secretariado de Pastoral de Juventud</t>
  </si>
  <si>
    <t>1.2.12.   Secretariado de Pastoral de la Salud</t>
  </si>
  <si>
    <t>1.2.13.   Secretariado de Pastoral del Sordo</t>
  </si>
  <si>
    <t>1.2.14.   Secretariado de Pastoral del Mar</t>
  </si>
  <si>
    <t>1.2.15.   Secretariado de Pastoral Familiar</t>
  </si>
  <si>
    <t>1.2.16.   Secretariado de Pastoral Obrera</t>
  </si>
  <si>
    <t>1.2.17.   Secretariado de Pastoral Penitenciaria</t>
  </si>
  <si>
    <t>1.2.18.   Secretariado de Pastoral Vocacional</t>
  </si>
  <si>
    <t>1.2.19.   Secretariado de Pastoral de Turismo</t>
  </si>
  <si>
    <t>4.2.    Aportaciones Servicio Canario de Salud - Capellanes</t>
  </si>
  <si>
    <t xml:space="preserve">3.8.    Revista "Iglesia al Día" </t>
  </si>
  <si>
    <t>3.9.    Ingresos  Museo Diocesano Arte Sacro Gran Canaria</t>
  </si>
  <si>
    <t xml:space="preserve">3.12.  Ingresos Tribunal Eclesiástico </t>
  </si>
  <si>
    <t>3.6.    Canon garajes Santa Teresa del Niño Jesús</t>
  </si>
  <si>
    <t xml:space="preserve">3.10.  Ingresos  Museo Diocesano Arte Sacro Fuerteventura </t>
  </si>
  <si>
    <t>3.11.  Ingresos  Museo Diocesano Arte Sacro Lanzarote</t>
  </si>
  <si>
    <t>PRESUPUESTO DIOCESANO</t>
  </si>
  <si>
    <t xml:space="preserve"> PRESUPUESTO DIOCESANO</t>
  </si>
  <si>
    <t>1.5.2.    Viajes</t>
  </si>
  <si>
    <t>1.5.3.    Préstamos personales</t>
  </si>
  <si>
    <t>1.5.4.    Campaña de financiación de la Iglesia</t>
  </si>
  <si>
    <t>1.5.5.    Campaña Declaración de la renta</t>
  </si>
  <si>
    <t>1.5.6.    Hogares Sacerdotales</t>
  </si>
  <si>
    <t>1.5.8.    Museo Diocesano  Arte Sacro -Gran Canaria-</t>
  </si>
  <si>
    <t>1.5.9.    Museo Diocesano Arte Sacro -Fuerteventura-</t>
  </si>
  <si>
    <t>1.5.10.  Museo Diocesano Arte Sacro -Lanzarote-</t>
  </si>
  <si>
    <t>4.4.    Aportación Convenio Telefónica</t>
  </si>
  <si>
    <t>4.5.    Tasas y Expedientes</t>
  </si>
  <si>
    <t>4.6.    Otros Ingresos</t>
  </si>
  <si>
    <t xml:space="preserve">1.5.7.    Asuntos Jurídicos </t>
  </si>
  <si>
    <t>5.2.14.  Entrega de Alquileres de Parroquias</t>
  </si>
  <si>
    <t>5.2.15.  Otros gastos de funcionamiento</t>
  </si>
  <si>
    <t>1.4.1.    Aportación Diócesis Santa Sede - Canon 1271</t>
  </si>
  <si>
    <t>1.4.2.    Óbolo San Pedro - Colecta 29 de Junio</t>
  </si>
  <si>
    <t>1.4.3.    Fondo Nueva Evangelización</t>
  </si>
  <si>
    <t xml:space="preserve">2.4.       Seguridad Social Clero </t>
  </si>
  <si>
    <t>2.5.       Seg. Social Religiosos y Otro Pers. Resp. Pastoral</t>
  </si>
  <si>
    <t xml:space="preserve">2.6.       Otras Ayudas </t>
  </si>
  <si>
    <t>2.7.       Fondo Solidario</t>
  </si>
  <si>
    <t>3.14.  Ingresos Hogar Sacerdotal</t>
  </si>
  <si>
    <t xml:space="preserve">1.5.11.  Revista Iglesia al Día </t>
  </si>
  <si>
    <t xml:space="preserve">1.5.12.  Tribunal Eclesiástico </t>
  </si>
  <si>
    <t>3.15.  Radio Tamaraceite</t>
  </si>
  <si>
    <t>1.2.    Ley de Rentas Eclesiásticas  (parroquias)</t>
  </si>
  <si>
    <t>5.2.13.  Quirón Prevención</t>
  </si>
  <si>
    <t>1.3.    Cuota Común Parroquial (otros org. diocesanos)</t>
  </si>
  <si>
    <t>3.16.  Pastoral Penitenciaria</t>
  </si>
  <si>
    <t>1.1.    Cuota Común Parroquial  (parroquias y cementerios)</t>
  </si>
  <si>
    <t xml:space="preserve">5.3.    Subvenciones Explotación (Parroquias) </t>
  </si>
  <si>
    <t>5.4.    Otras Subvenciones (Institutos Diocesanos)</t>
  </si>
  <si>
    <t>5.5.    C.E.E. - Devolución IGIC</t>
  </si>
  <si>
    <t>5.6.    Convenio Obra Social Bankia / P. Penitenciaria</t>
  </si>
  <si>
    <t>6.4.       Subvenciones Explotación (Institutos Diocesanos)</t>
  </si>
  <si>
    <t>Presupuesto 2023</t>
  </si>
  <si>
    <t>1.7.        Plan Diocesano Pastoral</t>
  </si>
  <si>
    <t>1.6.        Vicaría Fuerteventura - Lanzarote</t>
  </si>
  <si>
    <t>3.4.    Alquileres Obispado</t>
  </si>
  <si>
    <t>1.3.8.    Comisión Sostenimiento de la Iglesia</t>
  </si>
  <si>
    <t>1.3.9.    Comisión para la protección de menores</t>
  </si>
  <si>
    <t>1.3.10.  Otros gastos de administración</t>
  </si>
  <si>
    <t>3.17.  Exequias</t>
  </si>
  <si>
    <t xml:space="preserve">3.18.  Otros </t>
  </si>
  <si>
    <t>1.5.13.  Exequias</t>
  </si>
  <si>
    <t>1.5.14.  Palacio Episcopal</t>
  </si>
  <si>
    <t>3.7.    Alquileres de Parroquias</t>
  </si>
  <si>
    <t>1.2.20.   Secretariado de Migraciones y Refugiados</t>
  </si>
  <si>
    <t>1.2.21.   Vida Ascendente</t>
  </si>
  <si>
    <t>1.2.22.   A.C. General de Adultos (ACGA)</t>
  </si>
  <si>
    <t>1.2.23.   Fraternidad C. De Enfermos (FRATER)</t>
  </si>
  <si>
    <t>1.2.24.   Hermandad Obrera de A.C. (HOAC)</t>
  </si>
  <si>
    <t>1.2.25.   Juventud Obrera Cristiana (JOC)</t>
  </si>
  <si>
    <t>1.2.26.   Casa de la Iglesia</t>
  </si>
  <si>
    <t>1.2.27.   Centro Pastoral de Tafira</t>
  </si>
  <si>
    <t>1.2.28.   Centro Pastoral de Telde</t>
  </si>
  <si>
    <t>1.2.29.   Delegación de Enseñanza</t>
  </si>
  <si>
    <t>1.2.30.   Diversos Acontecimientos Diocesanos</t>
  </si>
  <si>
    <t xml:space="preserve">1.2.31.   Secretaría General de Pastoral </t>
  </si>
  <si>
    <t>1.2.32.   Radio Tamaraceite</t>
  </si>
  <si>
    <t>1.2.33.   Otros gastos</t>
  </si>
  <si>
    <t xml:space="preserve">1.2.6.     Secretariado de Catequesis </t>
  </si>
  <si>
    <t>,</t>
  </si>
  <si>
    <t xml:space="preserve">1.5.15.  Cancillería </t>
  </si>
  <si>
    <t>Presupuesto 2024</t>
  </si>
  <si>
    <t>Consolidado 2022 OFICIAL</t>
  </si>
  <si>
    <r>
      <t xml:space="preserve">Consolidado 2023 </t>
    </r>
    <r>
      <rPr>
        <b/>
        <i/>
        <sz val="10"/>
        <rFont val="Arial"/>
        <family val="2"/>
      </rPr>
      <t>Provisional</t>
    </r>
    <r>
      <rPr>
        <b/>
        <sz val="10"/>
        <rFont val="Arial"/>
        <family val="2"/>
      </rPr>
      <t xml:space="preserve"> al 31 de diciembre </t>
    </r>
  </si>
  <si>
    <t>1.4.    Colecta Diocesana</t>
  </si>
  <si>
    <t>1.5.    Suscripciones Diocesanas</t>
  </si>
  <si>
    <t>1.6.    Donativos</t>
  </si>
  <si>
    <t>1.7.    Misas y Binaciones</t>
  </si>
  <si>
    <t>1.8.    Óbolo San Pedro - Colecta 29 de Junio</t>
  </si>
  <si>
    <t>PRESUPUESTO 2024</t>
  </si>
  <si>
    <t>1.9.    Colecta Medios de Comunicación Social</t>
  </si>
  <si>
    <t>1.11.  Otros</t>
  </si>
  <si>
    <t>1.10.  Fondo Solidario</t>
  </si>
  <si>
    <t>5.7 .   Ingresos de parroquias (subvenciones)</t>
  </si>
  <si>
    <t>5.8 .   Otros Ingresos</t>
  </si>
  <si>
    <t>5.9.    Aportación Fondos Propios</t>
  </si>
  <si>
    <t>5.10   Necesidad de financiación</t>
  </si>
  <si>
    <t>1.4.5.    Aportación Acción Caritativa</t>
  </si>
  <si>
    <t>6.6.       Rehabilitación Lomo Cementerio Telde</t>
  </si>
  <si>
    <t>6.7.       C.E.E. - Devolución IGIC</t>
  </si>
  <si>
    <t>6.8.       Convenio Obra Social Bankia / P. Penitenciaria</t>
  </si>
  <si>
    <t>6.10.     Rehabilitación Parroquias</t>
  </si>
  <si>
    <t xml:space="preserve">6.11.     Otros </t>
  </si>
  <si>
    <t>6.12      Capacidad de Financiación</t>
  </si>
  <si>
    <t>6.9.       Centro Pastoral Fuerteventura</t>
  </si>
  <si>
    <t>6.5.       Subvenciones Explotación (Parroquias)</t>
  </si>
  <si>
    <t>6.3.       Subvenciones Explotación (Patrimonio Histórico)</t>
  </si>
  <si>
    <t xml:space="preserve">5.2.    Subvenciones Explotación (Patrimonio Histórico) </t>
  </si>
  <si>
    <t>6.2.       Subvenciones Explotación (Secretariados/Delegaciones)</t>
  </si>
  <si>
    <t>5.1.    Subvenciones Explotación (Secretariados/Delegaciones)</t>
  </si>
  <si>
    <t>1.4.4.    Aportación Diócesis Cuota Misionera - Canon 791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</si>
</sst>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%"/>
    <numFmt numFmtId="165" formatCode="_-* #,##0.00\ [$€]_-;\-* #,##0.00\ [$€]_-;_-* &quot;-&quot;??\ [$€]_-;_-@_-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8"/>
      <color indexed="62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  <font>
      <b/>
      <sz val="16"/>
      <color indexed="18"/>
      <name val="Arial"/>
      <family val="2"/>
    </font>
    <font>
      <b/>
      <sz val="18"/>
      <color indexed="10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26"/>
      <color indexed="18"/>
      <name val="Arial"/>
      <family val="2"/>
    </font>
    <font>
      <sz val="13"/>
      <name val="Arial"/>
      <family val="2"/>
    </font>
    <font>
      <i/>
      <sz val="16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b/>
      <i/>
      <sz val="14"/>
      <color indexed="18"/>
      <name val="Arial"/>
      <family val="2"/>
    </font>
    <font>
      <b/>
      <sz val="11"/>
      <color indexed="10"/>
      <name val="Arial"/>
      <family val="2"/>
    </font>
    <font>
      <i/>
      <sz val="9"/>
      <color indexed="18"/>
      <name val="Arial"/>
      <family val="2"/>
    </font>
    <font>
      <i/>
      <sz val="9"/>
      <color indexed="10"/>
      <name val="Arial"/>
      <family val="2"/>
    </font>
    <font>
      <b/>
      <i/>
      <sz val="14"/>
      <color indexed="10"/>
      <name val="Arial"/>
      <family val="2"/>
    </font>
    <font>
      <b/>
      <sz val="11.5"/>
      <name val="Arial"/>
      <family val="2"/>
    </font>
    <font>
      <b/>
      <i/>
      <sz val="10"/>
      <name val="Arial"/>
      <family val="2"/>
    </font>
    <font>
      <b/>
      <sz val="24"/>
      <name val="Arial"/>
      <family val="2"/>
    </font>
    <font>
      <sz val="14"/>
      <color indexed="8"/>
      <name val="Arial"/>
      <family val="2"/>
    </font>
    <font>
      <b/>
      <sz val="26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24"/>
      <name val="Arial"/>
      <family val="2"/>
    </font>
    <font>
      <sz val="2"/>
      <color indexed="25"/>
      <name val="Arial"/>
      <family val="2"/>
    </font>
    <font>
      <b/>
      <sz val="2"/>
      <color indexed="25"/>
      <name val="Arial"/>
      <family val="2"/>
    </font>
    <font>
      <sz val="1.1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b/>
      <sz val="14"/>
      <color rgb="FF000099"/>
      <name val="Arial"/>
      <family val="2"/>
    </font>
    <font>
      <b/>
      <sz val="14"/>
      <color rgb="FFFF0000"/>
      <name val="Arial"/>
      <family val="2"/>
    </font>
    <font>
      <b/>
      <sz val="18"/>
      <color theme="4"/>
      <name val="Arial"/>
      <family val="2"/>
    </font>
    <font>
      <b/>
      <i/>
      <sz val="14"/>
      <color rgb="FF000099"/>
      <name val="Arial"/>
      <family val="2"/>
    </font>
    <font>
      <b/>
      <sz val="26"/>
      <color rgb="FFFF0000"/>
      <name val="Arial"/>
      <family val="2"/>
    </font>
    <font>
      <b/>
      <i/>
      <sz val="14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thin"/>
      <bottom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1" fillId="29" borderId="1" applyNumberFormat="0" applyAlignment="0" applyProtection="0"/>
    <xf numFmtId="165" fontId="0" fillId="0" borderId="0" applyFont="0" applyFill="0" applyBorder="0" applyAlignment="0" applyProtection="0"/>
    <xf numFmtId="0" fontId="6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4" fillId="21" borderId="5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0" fillId="0" borderId="8" applyNumberFormat="0" applyFill="0" applyAlignment="0" applyProtection="0"/>
    <xf numFmtId="0" fontId="70" fillId="0" borderId="9" applyNumberFormat="0" applyFill="0" applyAlignment="0" applyProtection="0"/>
  </cellStyleXfs>
  <cellXfs count="264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 quotePrefix="1">
      <alignment horizontal="left"/>
    </xf>
    <xf numFmtId="3" fontId="3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 quotePrefix="1">
      <alignment horizontal="right"/>
    </xf>
    <xf numFmtId="0" fontId="9" fillId="0" borderId="0" xfId="0" applyFont="1" applyFill="1" applyAlignment="1">
      <alignment/>
    </xf>
    <xf numFmtId="0" fontId="0" fillId="0" borderId="12" xfId="0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4" fontId="5" fillId="0" borderId="0" xfId="0" applyNumberFormat="1" applyFont="1" applyFill="1" applyBorder="1" applyAlignment="1" quotePrefix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5" fillId="0" borderId="13" xfId="0" applyFont="1" applyFill="1" applyBorder="1" applyAlignment="1" quotePrefix="1">
      <alignment horizontal="left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 quotePrefix="1">
      <alignment horizontal="left"/>
    </xf>
    <xf numFmtId="3" fontId="3" fillId="0" borderId="16" xfId="0" applyNumberFormat="1" applyFont="1" applyFill="1" applyBorder="1" applyAlignment="1">
      <alignment horizontal="center"/>
    </xf>
    <xf numFmtId="0" fontId="6" fillId="0" borderId="13" xfId="0" applyFont="1" applyFill="1" applyBorder="1" applyAlignment="1" quotePrefix="1">
      <alignment horizontal="left"/>
    </xf>
    <xf numFmtId="0" fontId="7" fillId="0" borderId="17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horizontal="left"/>
    </xf>
    <xf numFmtId="0" fontId="6" fillId="0" borderId="12" xfId="0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/>
    </xf>
    <xf numFmtId="0" fontId="7" fillId="0" borderId="17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11" fillId="0" borderId="0" xfId="0" applyFont="1" applyAlignment="1">
      <alignment/>
    </xf>
    <xf numFmtId="164" fontId="0" fillId="0" borderId="0" xfId="0" applyNumberFormat="1" applyAlignment="1">
      <alignment/>
    </xf>
    <xf numFmtId="0" fontId="5" fillId="0" borderId="17" xfId="0" applyFont="1" applyFill="1" applyBorder="1" applyAlignment="1" quotePrefix="1">
      <alignment horizontal="left"/>
    </xf>
    <xf numFmtId="0" fontId="5" fillId="0" borderId="15" xfId="0" applyFont="1" applyFill="1" applyBorder="1" applyAlignment="1" quotePrefix="1">
      <alignment horizontal="left"/>
    </xf>
    <xf numFmtId="4" fontId="4" fillId="0" borderId="15" xfId="0" applyNumberFormat="1" applyFont="1" applyFill="1" applyBorder="1" applyAlignment="1" quotePrefix="1">
      <alignment horizontal="right"/>
    </xf>
    <xf numFmtId="4" fontId="4" fillId="0" borderId="18" xfId="0" applyNumberFormat="1" applyFont="1" applyFill="1" applyBorder="1" applyAlignment="1" quotePrefix="1">
      <alignment horizontal="right"/>
    </xf>
    <xf numFmtId="4" fontId="4" fillId="0" borderId="19" xfId="0" applyNumberFormat="1" applyFont="1" applyFill="1" applyBorder="1" applyAlignment="1" quotePrefix="1">
      <alignment horizontal="right"/>
    </xf>
    <xf numFmtId="4" fontId="4" fillId="0" borderId="20" xfId="0" applyNumberFormat="1" applyFont="1" applyFill="1" applyBorder="1" applyAlignment="1" quotePrefix="1">
      <alignment horizontal="right"/>
    </xf>
    <xf numFmtId="0" fontId="3" fillId="33" borderId="21" xfId="0" applyNumberFormat="1" applyFont="1" applyFill="1" applyBorder="1" applyAlignment="1">
      <alignment horizontal="center"/>
    </xf>
    <xf numFmtId="164" fontId="4" fillId="33" borderId="21" xfId="0" applyNumberFormat="1" applyFont="1" applyFill="1" applyBorder="1" applyAlignment="1">
      <alignment horizontal="center"/>
    </xf>
    <xf numFmtId="0" fontId="4" fillId="33" borderId="22" xfId="0" applyNumberFormat="1" applyFont="1" applyFill="1" applyBorder="1" applyAlignment="1">
      <alignment horizontal="center"/>
    </xf>
    <xf numFmtId="164" fontId="15" fillId="33" borderId="22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4" fontId="4" fillId="0" borderId="17" xfId="0" applyNumberFormat="1" applyFont="1" applyFill="1" applyBorder="1" applyAlignment="1">
      <alignment horizontal="right"/>
    </xf>
    <xf numFmtId="4" fontId="4" fillId="0" borderId="23" xfId="0" applyNumberFormat="1" applyFont="1" applyFill="1" applyBorder="1" applyAlignment="1" quotePrefix="1">
      <alignment horizontal="right"/>
    </xf>
    <xf numFmtId="0" fontId="3" fillId="0" borderId="24" xfId="0" applyNumberFormat="1" applyFont="1" applyFill="1" applyBorder="1" applyAlignment="1">
      <alignment horizontal="center"/>
    </xf>
    <xf numFmtId="0" fontId="4" fillId="0" borderId="24" xfId="0" applyNumberFormat="1" applyFont="1" applyFill="1" applyBorder="1" applyAlignment="1">
      <alignment horizontal="center"/>
    </xf>
    <xf numFmtId="4" fontId="4" fillId="0" borderId="24" xfId="0" applyNumberFormat="1" applyFont="1" applyFill="1" applyBorder="1" applyAlignment="1">
      <alignment horizontal="right"/>
    </xf>
    <xf numFmtId="4" fontId="4" fillId="0" borderId="24" xfId="0" applyNumberFormat="1" applyFont="1" applyFill="1" applyBorder="1" applyAlignment="1" quotePrefix="1">
      <alignment horizontal="right"/>
    </xf>
    <xf numFmtId="0" fontId="5" fillId="0" borderId="25" xfId="0" applyFont="1" applyFill="1" applyBorder="1" applyAlignment="1" quotePrefix="1">
      <alignment horizontal="left"/>
    </xf>
    <xf numFmtId="0" fontId="14" fillId="0" borderId="16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5" fillId="0" borderId="24" xfId="0" applyFont="1" applyFill="1" applyBorder="1" applyAlignment="1" quotePrefix="1">
      <alignment horizontal="left"/>
    </xf>
    <xf numFmtId="0" fontId="4" fillId="0" borderId="24" xfId="0" applyFont="1" applyFill="1" applyBorder="1" applyAlignment="1" quotePrefix="1">
      <alignment horizontal="left"/>
    </xf>
    <xf numFmtId="0" fontId="3" fillId="33" borderId="26" xfId="0" applyNumberFormat="1" applyFont="1" applyFill="1" applyBorder="1" applyAlignment="1">
      <alignment horizontal="center"/>
    </xf>
    <xf numFmtId="0" fontId="3" fillId="33" borderId="2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19" xfId="0" applyFont="1" applyFill="1" applyBorder="1" applyAlignment="1" quotePrefix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6" fillId="33" borderId="19" xfId="0" applyFont="1" applyFill="1" applyBorder="1" applyAlignment="1" quotePrefix="1">
      <alignment horizontal="left" vertical="center"/>
    </xf>
    <xf numFmtId="0" fontId="6" fillId="34" borderId="28" xfId="0" applyFont="1" applyFill="1" applyBorder="1" applyAlignment="1">
      <alignment vertical="center"/>
    </xf>
    <xf numFmtId="0" fontId="6" fillId="33" borderId="28" xfId="0" applyFont="1" applyFill="1" applyBorder="1" applyAlignment="1">
      <alignment vertical="center"/>
    </xf>
    <xf numFmtId="0" fontId="6" fillId="34" borderId="22" xfId="0" applyFont="1" applyFill="1" applyBorder="1" applyAlignment="1">
      <alignment horizontal="left" vertical="center"/>
    </xf>
    <xf numFmtId="0" fontId="6" fillId="34" borderId="19" xfId="0" applyFont="1" applyFill="1" applyBorder="1" applyAlignment="1">
      <alignment horizontal="left" vertical="center"/>
    </xf>
    <xf numFmtId="0" fontId="8" fillId="34" borderId="19" xfId="0" applyFont="1" applyFill="1" applyBorder="1" applyAlignment="1">
      <alignment horizontal="left" vertical="center"/>
    </xf>
    <xf numFmtId="0" fontId="6" fillId="34" borderId="19" xfId="0" applyFont="1" applyFill="1" applyBorder="1" applyAlignment="1">
      <alignment vertical="center"/>
    </xf>
    <xf numFmtId="3" fontId="5" fillId="0" borderId="0" xfId="0" applyNumberFormat="1" applyFont="1" applyFill="1" applyBorder="1" applyAlignment="1" quotePrefix="1">
      <alignment horizontal="center" vertical="center"/>
    </xf>
    <xf numFmtId="3" fontId="5" fillId="0" borderId="0" xfId="0" applyNumberFormat="1" applyFont="1" applyFill="1" applyBorder="1" applyAlignment="1" quotePrefix="1">
      <alignment horizontal="right" vertical="center"/>
    </xf>
    <xf numFmtId="3" fontId="4" fillId="0" borderId="29" xfId="0" applyNumberFormat="1" applyFont="1" applyFill="1" applyBorder="1" applyAlignment="1" quotePrefix="1">
      <alignment horizontal="right" vertical="center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5" fillId="33" borderId="19" xfId="0" applyNumberFormat="1" applyFont="1" applyFill="1" applyBorder="1" applyAlignment="1">
      <alignment horizontal="right" vertical="center"/>
    </xf>
    <xf numFmtId="4" fontId="5" fillId="33" borderId="19" xfId="0" applyNumberFormat="1" applyFont="1" applyFill="1" applyBorder="1" applyAlignment="1" quotePrefix="1">
      <alignment horizontal="right" vertical="center"/>
    </xf>
    <xf numFmtId="4" fontId="3" fillId="0" borderId="0" xfId="0" applyNumberFormat="1" applyFont="1" applyFill="1" applyAlignment="1">
      <alignment/>
    </xf>
    <xf numFmtId="4" fontId="5" fillId="34" borderId="19" xfId="0" applyNumberFormat="1" applyFont="1" applyFill="1" applyBorder="1" applyAlignment="1">
      <alignment horizontal="right" vertical="center"/>
    </xf>
    <xf numFmtId="4" fontId="6" fillId="33" borderId="19" xfId="0" applyNumberFormat="1" applyFont="1" applyFill="1" applyBorder="1" applyAlignment="1">
      <alignment horizontal="right" vertical="center"/>
    </xf>
    <xf numFmtId="4" fontId="8" fillId="0" borderId="14" xfId="0" applyNumberFormat="1" applyFont="1" applyFill="1" applyBorder="1" applyAlignment="1">
      <alignment horizontal="right"/>
    </xf>
    <xf numFmtId="4" fontId="5" fillId="35" borderId="19" xfId="0" applyNumberFormat="1" applyFont="1" applyFill="1" applyBorder="1" applyAlignment="1">
      <alignment horizontal="right" vertical="center"/>
    </xf>
    <xf numFmtId="4" fontId="20" fillId="0" borderId="15" xfId="0" applyNumberFormat="1" applyFont="1" applyFill="1" applyBorder="1" applyAlignment="1" quotePrefix="1">
      <alignment horizontal="right"/>
    </xf>
    <xf numFmtId="10" fontId="20" fillId="0" borderId="15" xfId="0" applyNumberFormat="1" applyFont="1" applyFill="1" applyBorder="1" applyAlignment="1" quotePrefix="1">
      <alignment horizontal="right"/>
    </xf>
    <xf numFmtId="0" fontId="7" fillId="0" borderId="25" xfId="0" applyFont="1" applyFill="1" applyBorder="1" applyAlignment="1">
      <alignment vertical="center"/>
    </xf>
    <xf numFmtId="0" fontId="6" fillId="33" borderId="28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6" fillId="34" borderId="19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 quotePrefix="1">
      <alignment vertical="center"/>
    </xf>
    <xf numFmtId="0" fontId="7" fillId="0" borderId="18" xfId="0" applyFont="1" applyFill="1" applyBorder="1" applyAlignment="1" quotePrefix="1">
      <alignment vertical="center"/>
    </xf>
    <xf numFmtId="0" fontId="0" fillId="0" borderId="1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15" xfId="0" applyFont="1" applyFill="1" applyBorder="1" applyAlignment="1" quotePrefix="1">
      <alignment horizontal="left" vertical="center"/>
    </xf>
    <xf numFmtId="0" fontId="7" fillId="0" borderId="15" xfId="0" applyFont="1" applyFill="1" applyBorder="1" applyAlignment="1">
      <alignment vertical="center" wrapText="1"/>
    </xf>
    <xf numFmtId="0" fontId="7" fillId="0" borderId="17" xfId="0" applyFont="1" applyFill="1" applyBorder="1" applyAlignment="1" quotePrefix="1">
      <alignment vertical="center" wrapText="1"/>
    </xf>
    <xf numFmtId="0" fontId="6" fillId="33" borderId="19" xfId="0" applyFont="1" applyFill="1" applyBorder="1" applyAlignment="1" quotePrefix="1">
      <alignment horizontal="left" vertical="center" wrapText="1"/>
    </xf>
    <xf numFmtId="0" fontId="12" fillId="34" borderId="28" xfId="0" applyFont="1" applyFill="1" applyBorder="1" applyAlignment="1" quotePrefix="1">
      <alignment horizontal="left" vertical="center"/>
    </xf>
    <xf numFmtId="0" fontId="13" fillId="34" borderId="19" xfId="0" applyFont="1" applyFill="1" applyBorder="1" applyAlignment="1" quotePrefix="1">
      <alignment horizontal="left" vertical="center"/>
    </xf>
    <xf numFmtId="4" fontId="7" fillId="0" borderId="30" xfId="0" applyNumberFormat="1" applyFont="1" applyFill="1" applyBorder="1" applyAlignment="1">
      <alignment horizontal="right"/>
    </xf>
    <xf numFmtId="4" fontId="7" fillId="0" borderId="21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4" fontId="7" fillId="0" borderId="15" xfId="0" applyNumberFormat="1" applyFont="1" applyFill="1" applyBorder="1" applyAlignment="1">
      <alignment horizontal="right"/>
    </xf>
    <xf numFmtId="4" fontId="7" fillId="0" borderId="15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4" fontId="7" fillId="0" borderId="18" xfId="0" applyNumberFormat="1" applyFont="1" applyFill="1" applyBorder="1" applyAlignment="1">
      <alignment horizontal="right"/>
    </xf>
    <xf numFmtId="4" fontId="7" fillId="0" borderId="17" xfId="0" applyNumberFormat="1" applyFont="1" applyFill="1" applyBorder="1" applyAlignment="1">
      <alignment horizontal="right"/>
    </xf>
    <xf numFmtId="4" fontId="7" fillId="0" borderId="25" xfId="0" applyNumberFormat="1" applyFont="1" applyFill="1" applyBorder="1" applyAlignment="1">
      <alignment horizontal="right"/>
    </xf>
    <xf numFmtId="4" fontId="7" fillId="0" borderId="25" xfId="0" applyNumberFormat="1" applyFont="1" applyFill="1" applyBorder="1" applyAlignment="1">
      <alignment horizontal="right" vertical="center"/>
    </xf>
    <xf numFmtId="4" fontId="7" fillId="0" borderId="30" xfId="0" applyNumberFormat="1" applyFont="1" applyFill="1" applyBorder="1" applyAlignment="1">
      <alignment horizontal="right" vertical="center"/>
    </xf>
    <xf numFmtId="4" fontId="7" fillId="0" borderId="18" xfId="0" applyNumberFormat="1" applyFont="1" applyFill="1" applyBorder="1" applyAlignment="1">
      <alignment horizontal="right" vertical="center"/>
    </xf>
    <xf numFmtId="4" fontId="7" fillId="0" borderId="17" xfId="0" applyNumberFormat="1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left" vertical="center"/>
    </xf>
    <xf numFmtId="3" fontId="7" fillId="0" borderId="31" xfId="0" applyNumberFormat="1" applyFont="1" applyFill="1" applyBorder="1" applyAlignment="1">
      <alignment horizontal="right"/>
    </xf>
    <xf numFmtId="3" fontId="7" fillId="0" borderId="23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6" fillId="0" borderId="0" xfId="0" applyFont="1" applyFill="1" applyBorder="1" applyAlignment="1" quotePrefix="1">
      <alignment horizontal="left"/>
    </xf>
    <xf numFmtId="3" fontId="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 quotePrefix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quotePrefix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0" fontId="6" fillId="0" borderId="0" xfId="0" applyFont="1" applyFill="1" applyBorder="1" applyAlignment="1" quotePrefix="1">
      <alignment horizontal="left" vertical="center"/>
    </xf>
    <xf numFmtId="0" fontId="6" fillId="0" borderId="0" xfId="0" applyFont="1" applyFill="1" applyBorder="1" applyAlignment="1" quotePrefix="1">
      <alignment horizontal="left" vertical="center" wrapText="1"/>
    </xf>
    <xf numFmtId="0" fontId="12" fillId="0" borderId="0" xfId="0" applyFont="1" applyFill="1" applyBorder="1" applyAlignment="1" quotePrefix="1">
      <alignment horizontal="left" vertical="center"/>
    </xf>
    <xf numFmtId="0" fontId="13" fillId="0" borderId="0" xfId="0" applyFont="1" applyFill="1" applyBorder="1" applyAlignment="1" quotePrefix="1">
      <alignment horizontal="left" vertical="center"/>
    </xf>
    <xf numFmtId="4" fontId="8" fillId="0" borderId="18" xfId="0" applyNumberFormat="1" applyFont="1" applyFill="1" applyBorder="1" applyAlignment="1">
      <alignment horizontal="right"/>
    </xf>
    <xf numFmtId="4" fontId="7" fillId="0" borderId="25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 quotePrefix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5" fillId="0" borderId="18" xfId="0" applyFont="1" applyFill="1" applyBorder="1" applyAlignment="1">
      <alignment horizontal="left"/>
    </xf>
    <xf numFmtId="4" fontId="3" fillId="0" borderId="24" xfId="0" applyNumberFormat="1" applyFont="1" applyFill="1" applyBorder="1" applyAlignment="1">
      <alignment horizontal="center" vertical="center" wrapText="1"/>
    </xf>
    <xf numFmtId="4" fontId="0" fillId="0" borderId="24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 quotePrefix="1">
      <alignment horizontal="left" vertical="center"/>
    </xf>
    <xf numFmtId="0" fontId="7" fillId="0" borderId="24" xfId="0" applyFont="1" applyFill="1" applyBorder="1" applyAlignment="1" quotePrefix="1">
      <alignment vertical="center"/>
    </xf>
    <xf numFmtId="0" fontId="6" fillId="0" borderId="24" xfId="0" applyFont="1" applyFill="1" applyBorder="1" applyAlignment="1" quotePrefix="1">
      <alignment horizontal="left" vertical="center" wrapText="1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 quotePrefix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12" fillId="0" borderId="29" xfId="0" applyFont="1" applyFill="1" applyBorder="1" applyAlignment="1" quotePrefix="1">
      <alignment horizontal="left" vertical="center"/>
    </xf>
    <xf numFmtId="0" fontId="7" fillId="0" borderId="24" xfId="0" applyFont="1" applyFill="1" applyBorder="1" applyAlignment="1">
      <alignment horizontal="left"/>
    </xf>
    <xf numFmtId="0" fontId="25" fillId="0" borderId="24" xfId="0" applyFont="1" applyFill="1" applyBorder="1" applyAlignment="1">
      <alignment horizontal="left"/>
    </xf>
    <xf numFmtId="0" fontId="13" fillId="0" borderId="24" xfId="0" applyFont="1" applyFill="1" applyBorder="1" applyAlignment="1" quotePrefix="1">
      <alignment horizontal="left" vertical="center"/>
    </xf>
    <xf numFmtId="0" fontId="7" fillId="0" borderId="29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6" fillId="0" borderId="29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left"/>
    </xf>
    <xf numFmtId="0" fontId="7" fillId="0" borderId="29" xfId="0" applyFont="1" applyFill="1" applyBorder="1" applyAlignment="1" quotePrefix="1">
      <alignment horizontal="left"/>
    </xf>
    <xf numFmtId="0" fontId="7" fillId="0" borderId="29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7" fillId="0" borderId="24" xfId="0" applyFont="1" applyFill="1" applyBorder="1" applyAlignment="1" quotePrefix="1">
      <alignment horizontal="left" vertical="center"/>
    </xf>
    <xf numFmtId="0" fontId="7" fillId="0" borderId="24" xfId="0" applyFont="1" applyFill="1" applyBorder="1" applyAlignment="1" quotePrefix="1">
      <alignment horizontal="left"/>
    </xf>
    <xf numFmtId="0" fontId="24" fillId="0" borderId="24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vertical="center"/>
    </xf>
    <xf numFmtId="0" fontId="8" fillId="0" borderId="24" xfId="0" applyFont="1" applyFill="1" applyBorder="1" applyAlignment="1">
      <alignment horizontal="left"/>
    </xf>
    <xf numFmtId="3" fontId="7" fillId="0" borderId="23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>
      <alignment horizontal="right" vertical="center"/>
    </xf>
    <xf numFmtId="0" fontId="7" fillId="0" borderId="2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 wrapText="1"/>
    </xf>
    <xf numFmtId="0" fontId="24" fillId="0" borderId="24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4" fontId="22" fillId="35" borderId="19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0" fontId="7" fillId="0" borderId="25" xfId="0" applyFont="1" applyFill="1" applyBorder="1" applyAlignment="1">
      <alignment/>
    </xf>
    <xf numFmtId="0" fontId="28" fillId="35" borderId="19" xfId="0" applyFont="1" applyFill="1" applyBorder="1" applyAlignment="1">
      <alignment horizontal="left" vertical="center"/>
    </xf>
    <xf numFmtId="0" fontId="23" fillId="35" borderId="19" xfId="0" applyFont="1" applyFill="1" applyBorder="1" applyAlignment="1">
      <alignment horizontal="right" vertical="center"/>
    </xf>
    <xf numFmtId="0" fontId="29" fillId="33" borderId="19" xfId="0" applyFont="1" applyFill="1" applyBorder="1" applyAlignment="1" quotePrefix="1">
      <alignment horizontal="left" vertical="center"/>
    </xf>
    <xf numFmtId="4" fontId="22" fillId="0" borderId="19" xfId="0" applyNumberFormat="1" applyFont="1" applyFill="1" applyBorder="1" applyAlignment="1" quotePrefix="1">
      <alignment horizontal="right"/>
    </xf>
    <xf numFmtId="10" fontId="22" fillId="0" borderId="19" xfId="0" applyNumberFormat="1" applyFont="1" applyFill="1" applyBorder="1" applyAlignment="1" quotePrefix="1">
      <alignment horizontal="right"/>
    </xf>
    <xf numFmtId="0" fontId="7" fillId="36" borderId="15" xfId="0" applyFont="1" applyFill="1" applyBorder="1" applyAlignment="1">
      <alignment/>
    </xf>
    <xf numFmtId="4" fontId="7" fillId="36" borderId="17" xfId="0" applyNumberFormat="1" applyFont="1" applyFill="1" applyBorder="1" applyAlignment="1">
      <alignment horizontal="right"/>
    </xf>
    <xf numFmtId="4" fontId="7" fillId="36" borderId="30" xfId="0" applyNumberFormat="1" applyFont="1" applyFill="1" applyBorder="1" applyAlignment="1">
      <alignment horizontal="right" vertical="center"/>
    </xf>
    <xf numFmtId="4" fontId="7" fillId="36" borderId="15" xfId="0" applyNumberFormat="1" applyFont="1" applyFill="1" applyBorder="1" applyAlignment="1">
      <alignment horizontal="right"/>
    </xf>
    <xf numFmtId="4" fontId="7" fillId="36" borderId="15" xfId="0" applyNumberFormat="1" applyFont="1" applyFill="1" applyBorder="1" applyAlignment="1">
      <alignment horizontal="right" vertical="center"/>
    </xf>
    <xf numFmtId="4" fontId="7" fillId="36" borderId="25" xfId="0" applyNumberFormat="1" applyFont="1" applyFill="1" applyBorder="1" applyAlignment="1">
      <alignment horizontal="right" vertical="center"/>
    </xf>
    <xf numFmtId="4" fontId="7" fillId="36" borderId="17" xfId="0" applyNumberFormat="1" applyFont="1" applyFill="1" applyBorder="1" applyAlignment="1">
      <alignment horizontal="right" vertical="center"/>
    </xf>
    <xf numFmtId="4" fontId="7" fillId="36" borderId="30" xfId="0" applyNumberFormat="1" applyFont="1" applyFill="1" applyBorder="1" applyAlignment="1">
      <alignment horizontal="right"/>
    </xf>
    <xf numFmtId="4" fontId="7" fillId="36" borderId="25" xfId="0" applyNumberFormat="1" applyFont="1" applyFill="1" applyBorder="1" applyAlignment="1">
      <alignment horizontal="right"/>
    </xf>
    <xf numFmtId="4" fontId="7" fillId="36" borderId="18" xfId="0" applyNumberFormat="1" applyFont="1" applyFill="1" applyBorder="1" applyAlignment="1">
      <alignment vertical="center"/>
    </xf>
    <xf numFmtId="4" fontId="7" fillId="36" borderId="18" xfId="0" applyNumberFormat="1" applyFont="1" applyFill="1" applyBorder="1" applyAlignment="1">
      <alignment horizontal="right"/>
    </xf>
    <xf numFmtId="0" fontId="7" fillId="0" borderId="16" xfId="0" applyFont="1" applyFill="1" applyBorder="1" applyAlignment="1" quotePrefix="1">
      <alignment vertical="center"/>
    </xf>
    <xf numFmtId="0" fontId="7" fillId="0" borderId="17" xfId="0" applyFont="1" applyFill="1" applyBorder="1" applyAlignment="1" quotePrefix="1">
      <alignment vertical="center"/>
    </xf>
    <xf numFmtId="0" fontId="16" fillId="0" borderId="0" xfId="0" applyFont="1" applyFill="1" applyAlignment="1">
      <alignment horizontal="center"/>
    </xf>
    <xf numFmtId="4" fontId="7" fillId="36" borderId="18" xfId="0" applyNumberFormat="1" applyFont="1" applyFill="1" applyBorder="1" applyAlignment="1">
      <alignment horizontal="right" vertical="center"/>
    </xf>
    <xf numFmtId="4" fontId="7" fillId="36" borderId="25" xfId="0" applyNumberFormat="1" applyFont="1" applyFill="1" applyBorder="1" applyAlignment="1">
      <alignment vertical="center"/>
    </xf>
    <xf numFmtId="4" fontId="4" fillId="35" borderId="19" xfId="0" applyNumberFormat="1" applyFont="1" applyFill="1" applyBorder="1" applyAlignment="1">
      <alignment horizontal="right" vertical="center"/>
    </xf>
    <xf numFmtId="4" fontId="8" fillId="0" borderId="18" xfId="0" applyNumberFormat="1" applyFont="1" applyFill="1" applyBorder="1" applyAlignment="1">
      <alignment vertical="center"/>
    </xf>
    <xf numFmtId="4" fontId="7" fillId="36" borderId="21" xfId="0" applyNumberFormat="1" applyFont="1" applyFill="1" applyBorder="1" applyAlignment="1">
      <alignment horizontal="right" vertical="center"/>
    </xf>
    <xf numFmtId="4" fontId="5" fillId="34" borderId="19" xfId="0" applyNumberFormat="1" applyFont="1" applyFill="1" applyBorder="1" applyAlignment="1" quotePrefix="1">
      <alignment horizontal="right" vertical="center"/>
    </xf>
    <xf numFmtId="4" fontId="4" fillId="34" borderId="19" xfId="0" applyNumberFormat="1" applyFont="1" applyFill="1" applyBorder="1" applyAlignment="1" quotePrefix="1">
      <alignment horizontal="right" vertical="center"/>
    </xf>
    <xf numFmtId="4" fontId="71" fillId="0" borderId="15" xfId="0" applyNumberFormat="1" applyFont="1" applyFill="1" applyBorder="1" applyAlignment="1" quotePrefix="1">
      <alignment horizontal="right"/>
    </xf>
    <xf numFmtId="10" fontId="71" fillId="0" borderId="15" xfId="0" applyNumberFormat="1" applyFont="1" applyFill="1" applyBorder="1" applyAlignment="1" quotePrefix="1">
      <alignment horizontal="right"/>
    </xf>
    <xf numFmtId="4" fontId="21" fillId="0" borderId="15" xfId="0" applyNumberFormat="1" applyFont="1" applyFill="1" applyBorder="1" applyAlignment="1" quotePrefix="1">
      <alignment horizontal="right"/>
    </xf>
    <xf numFmtId="10" fontId="21" fillId="0" borderId="15" xfId="0" applyNumberFormat="1" applyFont="1" applyFill="1" applyBorder="1" applyAlignment="1" quotePrefix="1">
      <alignment horizontal="right"/>
    </xf>
    <xf numFmtId="4" fontId="72" fillId="0" borderId="17" xfId="0" applyNumberFormat="1" applyFont="1" applyFill="1" applyBorder="1" applyAlignment="1">
      <alignment horizontal="right"/>
    </xf>
    <xf numFmtId="10" fontId="72" fillId="0" borderId="17" xfId="0" applyNumberFormat="1" applyFont="1" applyFill="1" applyBorder="1" applyAlignment="1">
      <alignment horizontal="right"/>
    </xf>
    <xf numFmtId="4" fontId="72" fillId="0" borderId="18" xfId="0" applyNumberFormat="1" applyFont="1" applyFill="1" applyBorder="1" applyAlignment="1" quotePrefix="1">
      <alignment horizontal="right"/>
    </xf>
    <xf numFmtId="10" fontId="72" fillId="0" borderId="18" xfId="0" applyNumberFormat="1" applyFont="1" applyFill="1" applyBorder="1" applyAlignment="1" quotePrefix="1">
      <alignment horizontal="right"/>
    </xf>
    <xf numFmtId="4" fontId="7" fillId="36" borderId="24" xfId="0" applyNumberFormat="1" applyFont="1" applyFill="1" applyBorder="1" applyAlignment="1">
      <alignment horizontal="right" vertical="center"/>
    </xf>
    <xf numFmtId="4" fontId="7" fillId="0" borderId="24" xfId="0" applyNumberFormat="1" applyFont="1" applyFill="1" applyBorder="1" applyAlignment="1">
      <alignment horizontal="right"/>
    </xf>
    <xf numFmtId="4" fontId="7" fillId="0" borderId="30" xfId="0" applyNumberFormat="1" applyFont="1" applyBorder="1" applyAlignment="1">
      <alignment horizontal="right" vertical="center"/>
    </xf>
    <xf numFmtId="4" fontId="73" fillId="34" borderId="19" xfId="0" applyNumberFormat="1" applyFont="1" applyFill="1" applyBorder="1" applyAlignment="1" quotePrefix="1">
      <alignment horizontal="right" vertical="center"/>
    </xf>
    <xf numFmtId="4" fontId="21" fillId="0" borderId="17" xfId="0" applyNumberFormat="1" applyFont="1" applyFill="1" applyBorder="1" applyAlignment="1">
      <alignment horizontal="right"/>
    </xf>
    <xf numFmtId="10" fontId="21" fillId="0" borderId="17" xfId="0" applyNumberFormat="1" applyFont="1" applyFill="1" applyBorder="1" applyAlignment="1">
      <alignment horizontal="right"/>
    </xf>
    <xf numFmtId="4" fontId="72" fillId="0" borderId="15" xfId="0" applyNumberFormat="1" applyFont="1" applyFill="1" applyBorder="1" applyAlignment="1" quotePrefix="1">
      <alignment horizontal="right"/>
    </xf>
    <xf numFmtId="10" fontId="72" fillId="0" borderId="15" xfId="0" applyNumberFormat="1" applyFont="1" applyFill="1" applyBorder="1" applyAlignment="1" quotePrefix="1">
      <alignment horizontal="right"/>
    </xf>
    <xf numFmtId="4" fontId="74" fillId="0" borderId="19" xfId="0" applyNumberFormat="1" applyFont="1" applyFill="1" applyBorder="1" applyAlignment="1" quotePrefix="1">
      <alignment horizontal="right"/>
    </xf>
    <xf numFmtId="10" fontId="74" fillId="0" borderId="19" xfId="0" applyNumberFormat="1" applyFont="1" applyFill="1" applyBorder="1" applyAlignment="1" quotePrefix="1">
      <alignment horizontal="right"/>
    </xf>
    <xf numFmtId="0" fontId="3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" fontId="3" fillId="34" borderId="21" xfId="0" applyNumberFormat="1" applyFont="1" applyFill="1" applyBorder="1" applyAlignment="1">
      <alignment horizontal="center" vertical="center" wrapText="1"/>
    </xf>
    <xf numFmtId="4" fontId="3" fillId="34" borderId="22" xfId="0" applyNumberFormat="1" applyFont="1" applyFill="1" applyBorder="1" applyAlignment="1">
      <alignment horizontal="center" vertical="center" wrapText="1"/>
    </xf>
    <xf numFmtId="0" fontId="14" fillId="37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77" fillId="0" borderId="0" xfId="0" applyFont="1" applyAlignment="1">
      <alignment horizontal="center"/>
    </xf>
    <xf numFmtId="0" fontId="78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rgbClr val="9999FF"/>
                </a:gs>
                <a:gs pos="100000">
                  <a:srgbClr val="EBEBFF"/>
                </a:gs>
              </a:gsLst>
              <a:lin ang="5400000" scaled="1"/>
            </a:gra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gradFill rotWithShape="1">
              <a:gsLst>
                <a:gs pos="0">
                  <a:srgbClr val="993366"/>
                </a:gs>
                <a:gs pos="100000">
                  <a:srgbClr val="EBD7E1"/>
                </a:gs>
              </a:gsLst>
              <a:lin ang="5400000" scaled="1"/>
            </a:gra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gradFill rotWithShape="1">
              <a:gsLst>
                <a:gs pos="0">
                  <a:srgbClr val="FFFFCC"/>
                </a:gs>
                <a:gs pos="100000">
                  <a:srgbClr val="FFFFF5"/>
                </a:gs>
              </a:gsLst>
              <a:lin ang="5400000" scaled="1"/>
            </a:gra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gradFill rotWithShape="1">
              <a:gsLst>
                <a:gs pos="0">
                  <a:srgbClr val="CCFFFF"/>
                </a:gs>
                <a:gs pos="100000">
                  <a:srgbClr val="F5FFFF"/>
                </a:gs>
              </a:gsLst>
              <a:lin ang="5400000" scaled="1"/>
            </a:gra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gradFill rotWithShape="1">
              <a:gsLst>
                <a:gs pos="0">
                  <a:srgbClr val="660066"/>
                </a:gs>
                <a:gs pos="100000">
                  <a:srgbClr val="E1CCE1"/>
                </a:gs>
              </a:gsLst>
              <a:lin ang="5400000" scaled="1"/>
            </a:gra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gradFill rotWithShape="1">
              <a:gsLst>
                <a:gs pos="0">
                  <a:srgbClr val="FF8080"/>
                </a:gs>
                <a:gs pos="100000">
                  <a:srgbClr val="FFE6E6"/>
                </a:gs>
              </a:gsLst>
              <a:lin ang="5400000" scaled="1"/>
            </a:gra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gradFill rotWithShape="1">
              <a:gsLst>
                <a:gs pos="0">
                  <a:srgbClr val="0066CC"/>
                </a:gs>
                <a:gs pos="100000">
                  <a:srgbClr val="CCE1F5"/>
                </a:gs>
              </a:gsLst>
              <a:lin ang="5400000" scaled="1"/>
            </a:gra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gradFill rotWithShape="1">
              <a:gsLst>
                <a:gs pos="0">
                  <a:srgbClr val="CCCCFF"/>
                </a:gs>
                <a:gs pos="100000">
                  <a:srgbClr val="FDFDFF"/>
                </a:gs>
              </a:gsLst>
              <a:lin ang="5400000" scaled="1"/>
            </a:gra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gradFill rotWithShape="1">
              <a:gsLst>
                <a:gs pos="0">
                  <a:srgbClr val="000080"/>
                </a:gs>
                <a:gs pos="100000">
                  <a:srgbClr val="CCCCE6"/>
                </a:gs>
              </a:gsLst>
              <a:lin ang="5400000" scaled="1"/>
            </a:gra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gradFill rotWithShape="1">
              <a:gsLst>
                <a:gs pos="0">
                  <a:srgbClr val="FF00FF"/>
                </a:gs>
                <a:gs pos="100000">
                  <a:srgbClr val="FFE5FF"/>
                </a:gs>
              </a:gsLst>
              <a:lin ang="5400000" scaled="1"/>
            </a:gra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spPr>
            <a:solidFill>
              <a:srgbClr val="FF808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11"/>
          <c:spPr>
            <a:solidFill>
              <a:srgbClr val="660066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6"/>
          <c:order val="12"/>
          <c:spPr>
            <a:solidFill>
              <a:srgbClr val="4472C4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7"/>
          <c:order val="13"/>
          <c:spPr>
            <a:solidFill>
              <a:srgbClr val="80808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8"/>
          <c:order val="14"/>
          <c:spPr>
            <a:solidFill>
              <a:srgbClr val="00330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9"/>
          <c:order val="15"/>
          <c:spPr>
            <a:solidFill>
              <a:srgbClr val="33330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6"/>
          <c:spPr>
            <a:solidFill>
              <a:srgbClr val="CCCCFF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0"/>
          <c:order val="17"/>
          <c:spPr>
            <a:solidFill>
              <a:srgbClr val="99330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1"/>
          <c:order val="18"/>
          <c:spPr>
            <a:solidFill>
              <a:srgbClr val="993366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2"/>
          <c:order val="19"/>
          <c:spPr>
            <a:solidFill>
              <a:srgbClr val="2F5597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3"/>
          <c:order val="20"/>
          <c:spPr>
            <a:solidFill>
              <a:srgbClr val="333333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4"/>
          <c:order val="21"/>
          <c:spPr>
            <a:solidFill>
              <a:srgbClr val="003366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5"/>
          <c:order val="22"/>
          <c:spPr>
            <a:solidFill>
              <a:srgbClr val="339966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6"/>
          <c:order val="23"/>
          <c:spPr>
            <a:solidFill>
              <a:srgbClr val="00330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7"/>
          <c:order val="24"/>
          <c:spPr>
            <a:solidFill>
              <a:srgbClr val="33330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8"/>
          <c:order val="25"/>
          <c:spPr>
            <a:solidFill>
              <a:srgbClr val="99330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9"/>
          <c:order val="26"/>
          <c:spPr>
            <a:solidFill>
              <a:srgbClr val="FF00FF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0"/>
          <c:order val="27"/>
          <c:spPr>
            <a:solidFill>
              <a:srgbClr val="2F5597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1"/>
          <c:order val="28"/>
          <c:spPr>
            <a:solidFill>
              <a:srgbClr val="333333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9"/>
          <c:spPr>
            <a:solidFill>
              <a:srgbClr val="80008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2"/>
          <c:order val="30"/>
          <c:spPr>
            <a:solidFill>
              <a:srgbClr val="003366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3"/>
          <c:order val="31"/>
          <c:spPr>
            <a:solidFill>
              <a:srgbClr val="339966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4"/>
          <c:order val="32"/>
          <c:spPr>
            <a:solidFill>
              <a:srgbClr val="00330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5"/>
          <c:order val="33"/>
          <c:spPr>
            <a:solidFill>
              <a:srgbClr val="33330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6"/>
          <c:order val="34"/>
          <c:spPr>
            <a:solidFill>
              <a:srgbClr val="99330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7"/>
          <c:order val="35"/>
          <c:spPr>
            <a:solidFill>
              <a:srgbClr val="D0CECE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6"/>
          <c:spPr>
            <a:solidFill>
              <a:srgbClr val="00008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8"/>
          <c:order val="37"/>
          <c:spPr>
            <a:solidFill>
              <a:srgbClr val="333399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9"/>
          <c:order val="38"/>
          <c:spPr>
            <a:solidFill>
              <a:srgbClr val="333333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0"/>
          <c:order val="39"/>
          <c:spPr>
            <a:solidFill>
              <a:srgbClr val="9999FF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1"/>
          <c:order val="40"/>
          <c:spPr>
            <a:solidFill>
              <a:srgbClr val="993366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2"/>
          <c:order val="41"/>
          <c:spPr>
            <a:solidFill>
              <a:srgbClr val="FFFFCC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2"/>
          <c:spPr>
            <a:solidFill>
              <a:srgbClr val="80000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serLines>
          <c:spPr>
            <a:ln w="3175">
              <a:solidFill>
                <a:srgbClr val="9999FF"/>
              </a:solidFill>
            </a:ln>
          </c:spPr>
        </c:serLines>
        <c:axId val="23907218"/>
        <c:axId val="13838371"/>
      </c:barChart>
      <c:catAx>
        <c:axId val="23907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999FF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</a:p>
        </c:txPr>
        <c:crossAx val="13838371"/>
        <c:crosses val="autoZero"/>
        <c:auto val="1"/>
        <c:lblOffset val="100"/>
        <c:tickLblSkip val="1"/>
        <c:noMultiLvlLbl val="0"/>
      </c:catAx>
      <c:valAx>
        <c:axId val="138383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999FF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</a:p>
        </c:txPr>
        <c:crossAx val="239072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993366"/>
        </a:solidFill>
        <a:ln w="3175">
          <a:solidFill>
            <a:srgbClr val="9999FF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8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9999FF"/>
      </a:solidFill>
    </a:ln>
  </c:spPr>
  <c:txPr>
    <a:bodyPr vert="horz" rot="0"/>
    <a:lstStyle/>
    <a:p>
      <a:pPr>
        <a:defRPr lang="en-US" cap="none" sz="200" b="0" i="0" u="none" baseline="0">
          <a:solidFill>
            <a:srgbClr val="9999FF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rgbClr val="9999FF"/>
                </a:gs>
                <a:gs pos="100000">
                  <a:srgbClr val="EBEBFF"/>
                </a:gs>
              </a:gsLst>
              <a:lin ang="5400000" scaled="1"/>
            </a:gra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gradFill rotWithShape="1">
              <a:gsLst>
                <a:gs pos="0">
                  <a:srgbClr val="993366"/>
                </a:gs>
                <a:gs pos="100000">
                  <a:srgbClr val="EBD7E1"/>
                </a:gs>
              </a:gsLst>
              <a:lin ang="5400000" scaled="1"/>
            </a:gra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gradFill rotWithShape="1">
              <a:gsLst>
                <a:gs pos="0">
                  <a:srgbClr val="FFFFCC"/>
                </a:gs>
                <a:gs pos="100000">
                  <a:srgbClr val="FFFFF5"/>
                </a:gs>
              </a:gsLst>
              <a:lin ang="5400000" scaled="1"/>
            </a:gra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gradFill rotWithShape="1">
              <a:gsLst>
                <a:gs pos="0">
                  <a:srgbClr val="CCFFFF"/>
                </a:gs>
                <a:gs pos="100000">
                  <a:srgbClr val="F5FFFF"/>
                </a:gs>
              </a:gsLst>
              <a:lin ang="5400000" scaled="1"/>
            </a:gra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gradFill rotWithShape="1">
              <a:gsLst>
                <a:gs pos="0">
                  <a:srgbClr val="660066"/>
                </a:gs>
                <a:gs pos="100000">
                  <a:srgbClr val="E1CCE1"/>
                </a:gs>
              </a:gsLst>
              <a:lin ang="5400000" scaled="1"/>
            </a:gra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gradFill rotWithShape="1">
              <a:gsLst>
                <a:gs pos="0">
                  <a:srgbClr val="FF8080"/>
                </a:gs>
                <a:gs pos="100000">
                  <a:srgbClr val="FFE6E6"/>
                </a:gs>
              </a:gsLst>
              <a:lin ang="5400000" scaled="1"/>
            </a:gra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gradFill rotWithShape="1">
              <a:gsLst>
                <a:gs pos="0">
                  <a:srgbClr val="0066CC"/>
                </a:gs>
                <a:gs pos="100000">
                  <a:srgbClr val="CCE1F5"/>
                </a:gs>
              </a:gsLst>
              <a:lin ang="5400000" scaled="1"/>
            </a:gra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gradFill rotWithShape="1">
              <a:gsLst>
                <a:gs pos="0">
                  <a:srgbClr val="CCCCFF"/>
                </a:gs>
                <a:gs pos="100000">
                  <a:srgbClr val="FDFDFF"/>
                </a:gs>
              </a:gsLst>
              <a:lin ang="5400000" scaled="1"/>
            </a:gra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gradFill rotWithShape="1">
              <a:gsLst>
                <a:gs pos="0">
                  <a:srgbClr val="000080"/>
                </a:gs>
                <a:gs pos="100000">
                  <a:srgbClr val="CCCCE6"/>
                </a:gs>
              </a:gsLst>
              <a:lin ang="5400000" scaled="1"/>
            </a:gra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gradFill rotWithShape="1">
              <a:gsLst>
                <a:gs pos="0">
                  <a:srgbClr val="FF00FF"/>
                </a:gs>
                <a:gs pos="100000">
                  <a:srgbClr val="FFE5FF"/>
                </a:gs>
              </a:gsLst>
              <a:lin ang="5400000" scaled="1"/>
            </a:gra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spPr>
            <a:solidFill>
              <a:srgbClr val="FF808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11"/>
          <c:spPr>
            <a:solidFill>
              <a:srgbClr val="660066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6"/>
          <c:order val="12"/>
          <c:spPr>
            <a:solidFill>
              <a:srgbClr val="4472C4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7"/>
          <c:order val="13"/>
          <c:spPr>
            <a:solidFill>
              <a:srgbClr val="80808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8"/>
          <c:order val="14"/>
          <c:spPr>
            <a:solidFill>
              <a:srgbClr val="00330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9"/>
          <c:order val="15"/>
          <c:spPr>
            <a:solidFill>
              <a:srgbClr val="33330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6"/>
          <c:spPr>
            <a:solidFill>
              <a:srgbClr val="CCCCFF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0"/>
          <c:order val="17"/>
          <c:spPr>
            <a:solidFill>
              <a:srgbClr val="99330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1"/>
          <c:order val="18"/>
          <c:spPr>
            <a:solidFill>
              <a:srgbClr val="993366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2"/>
          <c:order val="19"/>
          <c:spPr>
            <a:solidFill>
              <a:srgbClr val="2F5597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3"/>
          <c:order val="20"/>
          <c:spPr>
            <a:solidFill>
              <a:srgbClr val="333333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4"/>
          <c:order val="21"/>
          <c:spPr>
            <a:solidFill>
              <a:srgbClr val="003366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5"/>
          <c:order val="22"/>
          <c:spPr>
            <a:solidFill>
              <a:srgbClr val="339966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6"/>
          <c:order val="23"/>
          <c:spPr>
            <a:solidFill>
              <a:srgbClr val="00330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7"/>
          <c:order val="24"/>
          <c:spPr>
            <a:solidFill>
              <a:srgbClr val="33330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8"/>
          <c:order val="25"/>
          <c:spPr>
            <a:solidFill>
              <a:srgbClr val="99330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9"/>
          <c:order val="26"/>
          <c:spPr>
            <a:solidFill>
              <a:srgbClr val="FF00FF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0"/>
          <c:order val="27"/>
          <c:spPr>
            <a:solidFill>
              <a:srgbClr val="2F5597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1"/>
          <c:order val="28"/>
          <c:spPr>
            <a:solidFill>
              <a:srgbClr val="333333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9"/>
          <c:spPr>
            <a:solidFill>
              <a:srgbClr val="80008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2"/>
          <c:order val="30"/>
          <c:spPr>
            <a:solidFill>
              <a:srgbClr val="003366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3"/>
          <c:order val="31"/>
          <c:spPr>
            <a:solidFill>
              <a:srgbClr val="339966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4"/>
          <c:order val="32"/>
          <c:spPr>
            <a:solidFill>
              <a:srgbClr val="00330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5"/>
          <c:order val="33"/>
          <c:spPr>
            <a:solidFill>
              <a:srgbClr val="33330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6"/>
          <c:order val="34"/>
          <c:spPr>
            <a:solidFill>
              <a:srgbClr val="99330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7"/>
          <c:order val="35"/>
          <c:spPr>
            <a:solidFill>
              <a:srgbClr val="D0CECE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6"/>
          <c:spPr>
            <a:solidFill>
              <a:srgbClr val="00008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8"/>
          <c:order val="37"/>
          <c:spPr>
            <a:solidFill>
              <a:srgbClr val="333399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9"/>
          <c:order val="38"/>
          <c:spPr>
            <a:solidFill>
              <a:srgbClr val="333333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0"/>
          <c:order val="39"/>
          <c:spPr>
            <a:solidFill>
              <a:srgbClr val="9999FF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1"/>
          <c:order val="40"/>
          <c:spPr>
            <a:solidFill>
              <a:srgbClr val="993366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2"/>
          <c:order val="41"/>
          <c:spPr>
            <a:solidFill>
              <a:srgbClr val="FFFFCC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2"/>
          <c:spPr>
            <a:solidFill>
              <a:srgbClr val="800000"/>
            </a:solidFill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serLines>
          <c:spPr>
            <a:ln w="3175">
              <a:solidFill>
                <a:srgbClr val="9999FF"/>
              </a:solidFill>
            </a:ln>
          </c:spPr>
        </c:serLines>
        <c:axId val="57436476"/>
        <c:axId val="47166237"/>
      </c:barChart>
      <c:catAx>
        <c:axId val="57436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999FF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</a:p>
        </c:txPr>
        <c:crossAx val="47166237"/>
        <c:crosses val="autoZero"/>
        <c:auto val="1"/>
        <c:lblOffset val="100"/>
        <c:tickLblSkip val="1"/>
        <c:noMultiLvlLbl val="0"/>
      </c:catAx>
      <c:valAx>
        <c:axId val="471662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999FF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</a:p>
        </c:txPr>
        <c:crossAx val="574364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993366"/>
        </a:solidFill>
        <a:ln w="3175">
          <a:solidFill>
            <a:srgbClr val="9999FF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8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9999FF"/>
      </a:solidFill>
    </a:ln>
  </c:spPr>
  <c:txPr>
    <a:bodyPr vert="horz" rot="0"/>
    <a:lstStyle/>
    <a:p>
      <a:pPr>
        <a:defRPr lang="en-US" cap="none" sz="200" b="0" i="0" u="none" baseline="0">
          <a:solidFill>
            <a:srgbClr val="9999FF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885825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0172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109</xdr:row>
      <xdr:rowOff>0</xdr:rowOff>
    </xdr:from>
    <xdr:to>
      <xdr:col>13</xdr:col>
      <xdr:colOff>285750</xdr:colOff>
      <xdr:row>109</xdr:row>
      <xdr:rowOff>76200</xdr:rowOff>
    </xdr:to>
    <xdr:pic>
      <xdr:nvPicPr>
        <xdr:cNvPr id="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21355050"/>
          <a:ext cx="4581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9</xdr:col>
      <xdr:colOff>476250</xdr:colOff>
      <xdr:row>109</xdr:row>
      <xdr:rowOff>76200</xdr:rowOff>
    </xdr:to>
    <xdr:pic>
      <xdr:nvPicPr>
        <xdr:cNvPr id="2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21355050"/>
          <a:ext cx="4581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9</xdr:col>
      <xdr:colOff>476250</xdr:colOff>
      <xdr:row>109</xdr:row>
      <xdr:rowOff>76200</xdr:rowOff>
    </xdr:to>
    <xdr:pic>
      <xdr:nvPicPr>
        <xdr:cNvPr id="3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21355050"/>
          <a:ext cx="4581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9</xdr:col>
      <xdr:colOff>476250</xdr:colOff>
      <xdr:row>109</xdr:row>
      <xdr:rowOff>76200</xdr:rowOff>
    </xdr:to>
    <xdr:pic>
      <xdr:nvPicPr>
        <xdr:cNvPr id="4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21355050"/>
          <a:ext cx="4581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9</xdr:col>
      <xdr:colOff>476250</xdr:colOff>
      <xdr:row>109</xdr:row>
      <xdr:rowOff>76200</xdr:rowOff>
    </xdr:to>
    <xdr:pic>
      <xdr:nvPicPr>
        <xdr:cNvPr id="5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21355050"/>
          <a:ext cx="4581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6</xdr:col>
      <xdr:colOff>0</xdr:colOff>
      <xdr:row>109</xdr:row>
      <xdr:rowOff>76200</xdr:rowOff>
    </xdr:to>
    <xdr:pic>
      <xdr:nvPicPr>
        <xdr:cNvPr id="6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21355050"/>
          <a:ext cx="14287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6</xdr:col>
      <xdr:colOff>0</xdr:colOff>
      <xdr:row>109</xdr:row>
      <xdr:rowOff>76200</xdr:rowOff>
    </xdr:to>
    <xdr:pic>
      <xdr:nvPicPr>
        <xdr:cNvPr id="7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21355050"/>
          <a:ext cx="14287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6</xdr:col>
      <xdr:colOff>0</xdr:colOff>
      <xdr:row>109</xdr:row>
      <xdr:rowOff>76200</xdr:rowOff>
    </xdr:to>
    <xdr:pic>
      <xdr:nvPicPr>
        <xdr:cNvPr id="8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21355050"/>
          <a:ext cx="14287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6</xdr:col>
      <xdr:colOff>0</xdr:colOff>
      <xdr:row>109</xdr:row>
      <xdr:rowOff>76200</xdr:rowOff>
    </xdr:to>
    <xdr:pic>
      <xdr:nvPicPr>
        <xdr:cNvPr id="9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21355050"/>
          <a:ext cx="14287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6</xdr:col>
      <xdr:colOff>0</xdr:colOff>
      <xdr:row>109</xdr:row>
      <xdr:rowOff>76200</xdr:rowOff>
    </xdr:to>
    <xdr:pic>
      <xdr:nvPicPr>
        <xdr:cNvPr id="10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21355050"/>
          <a:ext cx="14287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9</xdr:col>
      <xdr:colOff>466725</xdr:colOff>
      <xdr:row>109</xdr:row>
      <xdr:rowOff>76200</xdr:rowOff>
    </xdr:to>
    <xdr:pic>
      <xdr:nvPicPr>
        <xdr:cNvPr id="11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21355050"/>
          <a:ext cx="45720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904875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030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10">
      <selection activeCell="N46" sqref="N46"/>
    </sheetView>
  </sheetViews>
  <sheetFormatPr defaultColWidth="11.421875" defaultRowHeight="12.75"/>
  <cols>
    <col min="1" max="1" width="2.28125" style="1" customWidth="1"/>
    <col min="2" max="2" width="64.28125" style="1" customWidth="1"/>
    <col min="3" max="3" width="18.7109375" style="89" customWidth="1"/>
    <col min="4" max="4" width="1.28515625" style="1" customWidth="1"/>
    <col min="5" max="5" width="18.7109375" style="89" customWidth="1"/>
    <col min="6" max="6" width="0.71875" style="8" customWidth="1"/>
    <col min="7" max="7" width="18.7109375" style="89" customWidth="1"/>
    <col min="8" max="8" width="0.2890625" style="19" hidden="1" customWidth="1"/>
    <col min="9" max="9" width="0.71875" style="19" customWidth="1"/>
    <col min="10" max="10" width="18.7109375" style="89" customWidth="1"/>
    <col min="11" max="16384" width="11.421875" style="1" customWidth="1"/>
  </cols>
  <sheetData>
    <row r="1" spans="1:10" s="71" customFormat="1" ht="30">
      <c r="A1" s="251" t="s">
        <v>15</v>
      </c>
      <c r="B1" s="251"/>
      <c r="C1" s="251"/>
      <c r="D1" s="251"/>
      <c r="E1" s="251"/>
      <c r="F1" s="251"/>
      <c r="G1" s="251"/>
      <c r="H1" s="251"/>
      <c r="I1" s="251"/>
      <c r="J1" s="251"/>
    </row>
    <row r="2" spans="1:10" s="71" customFormat="1" ht="15.75" customHeight="1">
      <c r="A2" s="252" t="s">
        <v>96</v>
      </c>
      <c r="B2" s="252"/>
      <c r="C2" s="252"/>
      <c r="D2" s="252"/>
      <c r="E2" s="252"/>
      <c r="F2" s="252"/>
      <c r="G2" s="252"/>
      <c r="H2" s="252"/>
      <c r="I2" s="252"/>
      <c r="J2" s="252"/>
    </row>
    <row r="3" spans="1:9" ht="4.5" customHeight="1">
      <c r="A3" s="31"/>
      <c r="B3" s="31"/>
      <c r="D3" s="31"/>
      <c r="F3" s="108"/>
      <c r="H3" s="1"/>
      <c r="I3" s="1"/>
    </row>
    <row r="4" spans="1:10" ht="26.25" customHeight="1">
      <c r="A4" s="253"/>
      <c r="B4" s="253"/>
      <c r="C4" s="253"/>
      <c r="D4" s="253"/>
      <c r="E4" s="253"/>
      <c r="F4" s="253"/>
      <c r="G4" s="253"/>
      <c r="H4" s="253"/>
      <c r="I4" s="253"/>
      <c r="J4" s="253"/>
    </row>
    <row r="5" spans="2:10" ht="23.25">
      <c r="B5" s="256" t="s">
        <v>125</v>
      </c>
      <c r="C5" s="256"/>
      <c r="D5" s="256"/>
      <c r="E5" s="256"/>
      <c r="F5" s="256"/>
      <c r="G5" s="256"/>
      <c r="H5" s="256"/>
      <c r="I5" s="256"/>
      <c r="J5" s="256"/>
    </row>
    <row r="6" spans="2:10" ht="12" customHeight="1" thickBot="1">
      <c r="B6" s="8"/>
      <c r="C6" s="90"/>
      <c r="D6" s="8"/>
      <c r="E6" s="90"/>
      <c r="G6" s="90"/>
      <c r="J6" s="90"/>
    </row>
    <row r="7" spans="2:10" ht="23.25" customHeight="1">
      <c r="B7" s="20" t="s">
        <v>29</v>
      </c>
      <c r="C7" s="254" t="s">
        <v>192</v>
      </c>
      <c r="D7" s="168"/>
      <c r="E7" s="254" t="s">
        <v>162</v>
      </c>
      <c r="F7" s="142"/>
      <c r="G7" s="254" t="s">
        <v>193</v>
      </c>
      <c r="H7" s="24"/>
      <c r="I7" s="136"/>
      <c r="J7" s="254" t="s">
        <v>191</v>
      </c>
    </row>
    <row r="8" spans="2:10" ht="16.5" customHeight="1" thickBot="1">
      <c r="B8" s="132"/>
      <c r="C8" s="255"/>
      <c r="D8" s="169"/>
      <c r="E8" s="255"/>
      <c r="F8" s="143"/>
      <c r="G8" s="255"/>
      <c r="H8" s="24"/>
      <c r="I8" s="136"/>
      <c r="J8" s="255"/>
    </row>
    <row r="9" spans="2:10" s="31" customFormat="1" ht="21" customHeight="1" thickBot="1">
      <c r="B9" s="79" t="s">
        <v>11</v>
      </c>
      <c r="C9" s="91">
        <f>SUM(C11:C21)</f>
        <v>830483.92</v>
      </c>
      <c r="D9" s="170"/>
      <c r="E9" s="91">
        <f>SUM(E11:E21)</f>
        <v>912985</v>
      </c>
      <c r="F9" s="144"/>
      <c r="G9" s="91">
        <f>SUM(G11:G21)</f>
        <v>942061.3000000002</v>
      </c>
      <c r="H9" s="35"/>
      <c r="I9" s="35"/>
      <c r="J9" s="91">
        <f>SUM(J11:J21)</f>
        <v>1110000</v>
      </c>
    </row>
    <row r="10" spans="2:10" s="8" customFormat="1" ht="5.25" customHeight="1" thickBot="1">
      <c r="B10" s="21"/>
      <c r="C10" s="18"/>
      <c r="D10" s="30"/>
      <c r="E10" s="18"/>
      <c r="F10" s="30"/>
      <c r="G10" s="18"/>
      <c r="H10" s="9"/>
      <c r="I10" s="9"/>
      <c r="J10" s="18"/>
    </row>
    <row r="11" spans="2:10" ht="14.25">
      <c r="B11" s="224" t="s">
        <v>156</v>
      </c>
      <c r="C11" s="230">
        <f>552711.49+51016.55</f>
        <v>603728.04</v>
      </c>
      <c r="D11" s="223"/>
      <c r="E11" s="116">
        <v>607000</v>
      </c>
      <c r="F11" s="137"/>
      <c r="G11" s="230">
        <f>650860.8+71006.17</f>
        <v>721866.9700000001</v>
      </c>
      <c r="H11" s="117"/>
      <c r="I11" s="117"/>
      <c r="J11" s="116">
        <v>791000</v>
      </c>
    </row>
    <row r="12" spans="2:10" ht="14.25">
      <c r="B12" s="105" t="s">
        <v>152</v>
      </c>
      <c r="C12" s="216">
        <v>23603.18</v>
      </c>
      <c r="D12" s="223"/>
      <c r="E12" s="215">
        <v>114000</v>
      </c>
      <c r="F12" s="137"/>
      <c r="G12" s="216">
        <v>2661.07</v>
      </c>
      <c r="H12" s="117"/>
      <c r="I12" s="117"/>
      <c r="J12" s="215">
        <v>95000</v>
      </c>
    </row>
    <row r="13" spans="2:10" ht="14.25">
      <c r="B13" s="105" t="s">
        <v>154</v>
      </c>
      <c r="C13" s="216">
        <v>25817.36</v>
      </c>
      <c r="D13" s="223"/>
      <c r="E13" s="118">
        <v>25900</v>
      </c>
      <c r="F13" s="137"/>
      <c r="G13" s="216">
        <v>63267.27</v>
      </c>
      <c r="H13" s="117"/>
      <c r="I13" s="117"/>
      <c r="J13" s="118">
        <v>62000</v>
      </c>
    </row>
    <row r="14" spans="2:10" ht="14.25">
      <c r="B14" s="105" t="s">
        <v>194</v>
      </c>
      <c r="C14" s="216">
        <f>56573.72+1500</f>
        <v>58073.72</v>
      </c>
      <c r="D14" s="223"/>
      <c r="E14" s="118">
        <v>59000</v>
      </c>
      <c r="F14" s="137"/>
      <c r="G14" s="216">
        <f>42901.45+1400</f>
        <v>44301.45</v>
      </c>
      <c r="H14" s="117"/>
      <c r="I14" s="117"/>
      <c r="J14" s="118">
        <v>50000</v>
      </c>
    </row>
    <row r="15" spans="2:10" ht="14.25">
      <c r="B15" s="105" t="s">
        <v>195</v>
      </c>
      <c r="C15" s="216">
        <v>69685.3</v>
      </c>
      <c r="D15" s="223"/>
      <c r="E15" s="119">
        <v>69700</v>
      </c>
      <c r="F15" s="137"/>
      <c r="G15" s="216">
        <f>55867.4+2051</f>
        <v>57918.4</v>
      </c>
      <c r="H15" s="120"/>
      <c r="I15" s="120"/>
      <c r="J15" s="119">
        <v>57950</v>
      </c>
    </row>
    <row r="16" spans="2:10" ht="14.25">
      <c r="B16" s="105" t="s">
        <v>196</v>
      </c>
      <c r="C16" s="216">
        <f>2616.13+219.36+1350.18+1239.35</f>
        <v>5425.02</v>
      </c>
      <c r="D16" s="223"/>
      <c r="E16" s="118">
        <v>6000</v>
      </c>
      <c r="F16" s="137"/>
      <c r="G16" s="216">
        <f>1478.64+93.48+3529.18</f>
        <v>5101.3</v>
      </c>
      <c r="H16" s="117"/>
      <c r="I16" s="117"/>
      <c r="J16" s="118">
        <v>6000</v>
      </c>
    </row>
    <row r="17" spans="2:10" ht="14.25">
      <c r="B17" s="105" t="s">
        <v>197</v>
      </c>
      <c r="C17" s="217">
        <v>11887</v>
      </c>
      <c r="D17" s="223"/>
      <c r="E17" s="123">
        <v>11900</v>
      </c>
      <c r="F17" s="137"/>
      <c r="G17" s="217">
        <v>10742.4</v>
      </c>
      <c r="H17" s="117"/>
      <c r="I17" s="117"/>
      <c r="J17" s="123">
        <v>10750</v>
      </c>
    </row>
    <row r="18" spans="2:10" ht="14.25">
      <c r="B18" s="105" t="s">
        <v>198</v>
      </c>
      <c r="C18" s="217">
        <v>175.2</v>
      </c>
      <c r="D18" s="223"/>
      <c r="E18" s="123">
        <v>1000</v>
      </c>
      <c r="F18" s="137"/>
      <c r="G18" s="217">
        <v>1257.91</v>
      </c>
      <c r="H18" s="117"/>
      <c r="I18" s="117"/>
      <c r="J18" s="123">
        <v>1500</v>
      </c>
    </row>
    <row r="19" spans="2:10" ht="14.25">
      <c r="B19" s="105" t="s">
        <v>200</v>
      </c>
      <c r="C19" s="217">
        <v>0</v>
      </c>
      <c r="D19" s="223"/>
      <c r="E19" s="123">
        <v>0</v>
      </c>
      <c r="F19" s="137"/>
      <c r="G19" s="217">
        <v>200</v>
      </c>
      <c r="H19" s="117"/>
      <c r="I19" s="117"/>
      <c r="J19" s="123">
        <v>300</v>
      </c>
    </row>
    <row r="20" spans="2:10" ht="14.25">
      <c r="B20" s="105" t="s">
        <v>202</v>
      </c>
      <c r="C20" s="217">
        <v>19965.25</v>
      </c>
      <c r="D20" s="223"/>
      <c r="E20" s="123">
        <v>11485</v>
      </c>
      <c r="F20" s="137"/>
      <c r="G20" s="217">
        <v>12962.62</v>
      </c>
      <c r="H20" s="117"/>
      <c r="I20" s="117"/>
      <c r="J20" s="123">
        <v>13000</v>
      </c>
    </row>
    <row r="21" spans="2:10" ht="15" thickBot="1">
      <c r="B21" s="106" t="s">
        <v>201</v>
      </c>
      <c r="C21" s="226">
        <f>1073.21+11050.64</f>
        <v>12123.849999999999</v>
      </c>
      <c r="D21" s="223"/>
      <c r="E21" s="121">
        <v>7000</v>
      </c>
      <c r="F21" s="137"/>
      <c r="G21" s="226">
        <f>4015.92+9165.99+8600</f>
        <v>21781.91</v>
      </c>
      <c r="H21" s="117"/>
      <c r="I21" s="117"/>
      <c r="J21" s="121">
        <v>22500</v>
      </c>
    </row>
    <row r="22" spans="2:10" s="8" customFormat="1" ht="11.25" customHeight="1" thickBot="1">
      <c r="B22" s="22"/>
      <c r="C22" s="16"/>
      <c r="D22" s="29"/>
      <c r="E22" s="16"/>
      <c r="F22" s="29"/>
      <c r="G22" s="16"/>
      <c r="H22" s="5"/>
      <c r="I22" s="5"/>
      <c r="J22" s="16"/>
    </row>
    <row r="23" spans="2:10" s="72" customFormat="1" ht="32.25" thickBot="1">
      <c r="B23" s="112" t="s">
        <v>16</v>
      </c>
      <c r="C23" s="92">
        <f>SUM(C25:C28)</f>
        <v>3365241.0699999994</v>
      </c>
      <c r="D23" s="172"/>
      <c r="E23" s="92">
        <f>SUM(E25:E28)</f>
        <v>3545302</v>
      </c>
      <c r="F23" s="145"/>
      <c r="G23" s="92">
        <f>SUM(G25:G28)</f>
        <v>3766525.0999999996</v>
      </c>
      <c r="H23" s="86"/>
      <c r="I23" s="86"/>
      <c r="J23" s="92">
        <f>SUM(J25:J28)</f>
        <v>3868538</v>
      </c>
    </row>
    <row r="24" spans="2:10" s="8" customFormat="1" ht="5.25" customHeight="1" thickBot="1">
      <c r="B24" s="25"/>
      <c r="C24" s="15"/>
      <c r="D24" s="135"/>
      <c r="E24" s="15"/>
      <c r="F24" s="135"/>
      <c r="G24" s="15"/>
      <c r="H24" s="10"/>
      <c r="I24" s="10"/>
      <c r="J24" s="15"/>
    </row>
    <row r="25" spans="2:10" ht="14.25">
      <c r="B25" s="38" t="s">
        <v>41</v>
      </c>
      <c r="C25" s="218">
        <f>2941685.9+27396</f>
        <v>2969081.9</v>
      </c>
      <c r="D25" s="173"/>
      <c r="E25" s="213">
        <v>3096812</v>
      </c>
      <c r="F25" s="138"/>
      <c r="G25" s="218">
        <f>3335867.54</f>
        <v>3335867.54</v>
      </c>
      <c r="H25" s="117"/>
      <c r="I25" s="117"/>
      <c r="J25" s="213">
        <v>3382686</v>
      </c>
    </row>
    <row r="26" spans="2:10" ht="14.25">
      <c r="B26" s="40" t="s">
        <v>42</v>
      </c>
      <c r="C26" s="216">
        <v>62995.34</v>
      </c>
      <c r="D26" s="173"/>
      <c r="E26" s="118">
        <v>62995</v>
      </c>
      <c r="F26" s="138"/>
      <c r="G26" s="216">
        <v>65515.15</v>
      </c>
      <c r="H26" s="117"/>
      <c r="I26" s="117"/>
      <c r="J26" s="118">
        <v>65515</v>
      </c>
    </row>
    <row r="27" spans="2:10" ht="14.25">
      <c r="B27" s="40" t="s">
        <v>43</v>
      </c>
      <c r="C27" s="217">
        <v>62995.34</v>
      </c>
      <c r="D27" s="173"/>
      <c r="E27" s="123">
        <v>62995</v>
      </c>
      <c r="F27" s="138"/>
      <c r="G27" s="217">
        <v>65515.15</v>
      </c>
      <c r="H27" s="117"/>
      <c r="I27" s="117"/>
      <c r="J27" s="123">
        <v>65515</v>
      </c>
    </row>
    <row r="28" spans="2:10" ht="15" thickBot="1">
      <c r="B28" s="41" t="s">
        <v>40</v>
      </c>
      <c r="C28" s="226">
        <v>270168.49</v>
      </c>
      <c r="D28" s="173"/>
      <c r="E28" s="222">
        <v>322500</v>
      </c>
      <c r="F28" s="138"/>
      <c r="G28" s="226">
        <v>299627.26</v>
      </c>
      <c r="H28" s="117"/>
      <c r="I28" s="117"/>
      <c r="J28" s="222">
        <v>354822</v>
      </c>
    </row>
    <row r="29" spans="2:10" s="8" customFormat="1" ht="18" customHeight="1" thickBot="1">
      <c r="B29" s="29"/>
      <c r="C29" s="16"/>
      <c r="D29" s="29"/>
      <c r="E29" s="16"/>
      <c r="F29" s="29"/>
      <c r="G29" s="16"/>
      <c r="H29" s="5"/>
      <c r="I29" s="5"/>
      <c r="J29" s="16"/>
    </row>
    <row r="30" spans="2:10" s="31" customFormat="1" ht="21" customHeight="1" thickBot="1">
      <c r="B30" s="209" t="s">
        <v>12</v>
      </c>
      <c r="C30" s="91">
        <f>SUM(C32:C49)</f>
        <v>596736.73</v>
      </c>
      <c r="D30" s="170"/>
      <c r="E30" s="91">
        <f>SUM(E32:E49)</f>
        <v>1267822</v>
      </c>
      <c r="F30" s="144"/>
      <c r="G30" s="91">
        <f>SUM(G32:G49)</f>
        <v>1591078.7</v>
      </c>
      <c r="H30" s="35"/>
      <c r="I30" s="35"/>
      <c r="J30" s="91">
        <f>SUM(J32:J49)</f>
        <v>1759232</v>
      </c>
    </row>
    <row r="31" spans="2:10" s="8" customFormat="1" ht="11.25" customHeight="1" thickBot="1">
      <c r="B31" s="30"/>
      <c r="C31" s="15"/>
      <c r="D31" s="30"/>
      <c r="E31" s="15"/>
      <c r="F31" s="30"/>
      <c r="G31" s="15"/>
      <c r="H31" s="10"/>
      <c r="I31" s="10"/>
      <c r="J31" s="15"/>
    </row>
    <row r="32" spans="2:10" ht="14.25">
      <c r="B32" s="38" t="s">
        <v>97</v>
      </c>
      <c r="C32" s="218">
        <f>583.68+1561.25+166.49+44.1+997.4+2233.46</f>
        <v>5586.38</v>
      </c>
      <c r="D32" s="173"/>
      <c r="E32" s="122">
        <v>5590</v>
      </c>
      <c r="F32" s="138"/>
      <c r="G32" s="218">
        <f>574.02+846.03+1410.94+42.56+5336+1117.7+14915.22+14619.18+10271.45+1435.28+1383.93+5009.28</f>
        <v>56961.590000000004</v>
      </c>
      <c r="H32" s="117"/>
      <c r="I32" s="117"/>
      <c r="J32" s="122">
        <v>59100</v>
      </c>
    </row>
    <row r="33" spans="2:10" ht="14.25">
      <c r="B33" s="40" t="s">
        <v>44</v>
      </c>
      <c r="C33" s="216">
        <v>0</v>
      </c>
      <c r="D33" s="173"/>
      <c r="E33" s="118">
        <v>0</v>
      </c>
      <c r="F33" s="138"/>
      <c r="G33" s="216">
        <v>0</v>
      </c>
      <c r="H33" s="117"/>
      <c r="I33" s="117"/>
      <c r="J33" s="118">
        <v>30000</v>
      </c>
    </row>
    <row r="34" spans="2:10" ht="14.25">
      <c r="B34" s="105" t="s">
        <v>45</v>
      </c>
      <c r="C34" s="216">
        <v>0</v>
      </c>
      <c r="D34" s="171"/>
      <c r="E34" s="118">
        <v>0</v>
      </c>
      <c r="F34" s="137"/>
      <c r="G34" s="216">
        <v>0</v>
      </c>
      <c r="H34" s="117"/>
      <c r="I34" s="117"/>
      <c r="J34" s="118">
        <v>0</v>
      </c>
    </row>
    <row r="35" spans="2:10" ht="14.25">
      <c r="B35" s="40" t="s">
        <v>165</v>
      </c>
      <c r="C35" s="216">
        <v>3426.84</v>
      </c>
      <c r="D35" s="173"/>
      <c r="E35" s="118">
        <v>17238</v>
      </c>
      <c r="F35" s="138"/>
      <c r="G35" s="216">
        <f>3426.84+12+5400+7200+1200</f>
        <v>17238.84</v>
      </c>
      <c r="H35" s="117"/>
      <c r="I35" s="117"/>
      <c r="J35" s="118">
        <v>17238</v>
      </c>
    </row>
    <row r="36" spans="2:10" ht="14.25">
      <c r="B36" s="40" t="s">
        <v>46</v>
      </c>
      <c r="C36" s="216">
        <v>9926.04</v>
      </c>
      <c r="D36" s="173"/>
      <c r="E36" s="118">
        <v>9926</v>
      </c>
      <c r="F36" s="138"/>
      <c r="G36" s="216">
        <v>9926.04</v>
      </c>
      <c r="H36" s="117"/>
      <c r="I36" s="117"/>
      <c r="J36" s="118">
        <v>9926</v>
      </c>
    </row>
    <row r="37" spans="2:10" ht="14.25">
      <c r="B37" s="40" t="s">
        <v>122</v>
      </c>
      <c r="C37" s="216">
        <v>9822.48</v>
      </c>
      <c r="D37" s="173"/>
      <c r="E37" s="118">
        <v>9822</v>
      </c>
      <c r="F37" s="138"/>
      <c r="G37" s="216">
        <v>9822.48</v>
      </c>
      <c r="H37" s="117"/>
      <c r="I37" s="117"/>
      <c r="J37" s="118">
        <v>9822</v>
      </c>
    </row>
    <row r="38" spans="2:10" ht="14.25">
      <c r="B38" s="40" t="s">
        <v>173</v>
      </c>
      <c r="C38" s="216">
        <f>4200+700+3500+1800+4200+600+600+600+600+12+5400+100+2800+4800+5400+4600+4400+7200+4200+1500+4800+7000+1800+906.66+1000+200+900+400</f>
        <v>74218.66</v>
      </c>
      <c r="D38" s="173"/>
      <c r="E38" s="215">
        <v>91796</v>
      </c>
      <c r="F38" s="138"/>
      <c r="G38" s="216">
        <f>2450+4550+1800+3850+992+650+550+600+600+5400+110+2800+4800+4200+4800+4200+1800+4800+16800+5400+4800+6000+5400+4800+4800</f>
        <v>96952</v>
      </c>
      <c r="H38" s="117"/>
      <c r="I38" s="117"/>
      <c r="J38" s="215">
        <v>94796</v>
      </c>
    </row>
    <row r="39" spans="2:10" ht="14.25">
      <c r="B39" s="40" t="s">
        <v>119</v>
      </c>
      <c r="C39" s="216">
        <v>23877</v>
      </c>
      <c r="D39" s="173"/>
      <c r="E39" s="118">
        <v>24850</v>
      </c>
      <c r="F39" s="138"/>
      <c r="G39" s="216">
        <v>23520</v>
      </c>
      <c r="H39" s="129"/>
      <c r="I39" s="196"/>
      <c r="J39" s="118">
        <v>23500</v>
      </c>
    </row>
    <row r="40" spans="2:10" ht="14.25">
      <c r="B40" s="40" t="s">
        <v>120</v>
      </c>
      <c r="C40" s="216">
        <v>181970.44</v>
      </c>
      <c r="D40" s="173"/>
      <c r="E40" s="215">
        <v>600000</v>
      </c>
      <c r="F40" s="138"/>
      <c r="G40" s="216">
        <f>681174.09+1880.5</f>
        <v>683054.59</v>
      </c>
      <c r="H40" s="129"/>
      <c r="I40" s="196"/>
      <c r="J40" s="215">
        <v>750000</v>
      </c>
    </row>
    <row r="41" spans="2:10" ht="14.25">
      <c r="B41" s="40" t="s">
        <v>123</v>
      </c>
      <c r="C41" s="216">
        <v>74565.8</v>
      </c>
      <c r="D41" s="173"/>
      <c r="E41" s="118">
        <v>75000</v>
      </c>
      <c r="F41" s="138"/>
      <c r="G41" s="216">
        <v>115015.05</v>
      </c>
      <c r="H41" s="195"/>
      <c r="I41" s="196"/>
      <c r="J41" s="118">
        <v>116000</v>
      </c>
    </row>
    <row r="42" spans="2:10" ht="14.25">
      <c r="B42" s="40" t="s">
        <v>124</v>
      </c>
      <c r="C42" s="217">
        <v>6217</v>
      </c>
      <c r="D42" s="173"/>
      <c r="E42" s="123">
        <v>6300</v>
      </c>
      <c r="F42" s="138"/>
      <c r="G42" s="217">
        <v>7463</v>
      </c>
      <c r="H42" s="195"/>
      <c r="I42" s="196"/>
      <c r="J42" s="123">
        <v>7500</v>
      </c>
    </row>
    <row r="43" spans="2:10" ht="14.25" customHeight="1">
      <c r="B43" s="100" t="s">
        <v>121</v>
      </c>
      <c r="C43" s="217">
        <v>10780</v>
      </c>
      <c r="D43" s="173"/>
      <c r="E43" s="124">
        <v>9900</v>
      </c>
      <c r="F43" s="138"/>
      <c r="G43" s="217">
        <v>5900</v>
      </c>
      <c r="H43" s="130"/>
      <c r="I43" s="197"/>
      <c r="J43" s="124">
        <v>9000</v>
      </c>
    </row>
    <row r="44" spans="2:10" ht="14.25">
      <c r="B44" s="40" t="s">
        <v>98</v>
      </c>
      <c r="C44" s="217">
        <v>1040.36</v>
      </c>
      <c r="D44" s="173"/>
      <c r="E44" s="123">
        <v>1000</v>
      </c>
      <c r="F44" s="138"/>
      <c r="G44" s="217">
        <v>0</v>
      </c>
      <c r="H44" s="117"/>
      <c r="I44" s="117"/>
      <c r="J44" s="123">
        <v>1000</v>
      </c>
    </row>
    <row r="45" spans="2:10" ht="14.25">
      <c r="B45" s="40" t="s">
        <v>148</v>
      </c>
      <c r="C45" s="217">
        <v>131087.4</v>
      </c>
      <c r="D45" s="173"/>
      <c r="E45" s="123">
        <v>131000</v>
      </c>
      <c r="F45" s="138"/>
      <c r="G45" s="217">
        <v>165954.57</v>
      </c>
      <c r="H45" s="117"/>
      <c r="I45" s="117"/>
      <c r="J45" s="123">
        <v>210350</v>
      </c>
    </row>
    <row r="46" spans="2:10" ht="14.25">
      <c r="B46" s="40" t="s">
        <v>151</v>
      </c>
      <c r="C46" s="217">
        <f>16868+20500</f>
        <v>37368</v>
      </c>
      <c r="D46" s="173"/>
      <c r="E46" s="220">
        <v>16900</v>
      </c>
      <c r="F46" s="138"/>
      <c r="G46" s="217">
        <v>15138</v>
      </c>
      <c r="H46" s="117"/>
      <c r="I46" s="117"/>
      <c r="J46" s="220">
        <v>16000</v>
      </c>
    </row>
    <row r="47" spans="2:10" ht="14.25">
      <c r="B47" s="40" t="s">
        <v>155</v>
      </c>
      <c r="C47" s="217">
        <v>11024.82</v>
      </c>
      <c r="D47" s="173"/>
      <c r="E47" s="220">
        <v>18500</v>
      </c>
      <c r="F47" s="138"/>
      <c r="G47" s="217">
        <v>0</v>
      </c>
      <c r="H47" s="117"/>
      <c r="I47" s="117"/>
      <c r="J47" s="220">
        <v>15000</v>
      </c>
    </row>
    <row r="48" spans="2:10" ht="14.25">
      <c r="B48" s="40" t="s">
        <v>169</v>
      </c>
      <c r="C48" s="217">
        <v>1850</v>
      </c>
      <c r="D48" s="173"/>
      <c r="E48" s="220">
        <v>240000</v>
      </c>
      <c r="F48" s="138"/>
      <c r="G48" s="217">
        <v>374921.63</v>
      </c>
      <c r="H48" s="117"/>
      <c r="I48" s="117"/>
      <c r="J48" s="220">
        <v>375000</v>
      </c>
    </row>
    <row r="49" spans="2:10" ht="15" thickBot="1">
      <c r="B49" s="41" t="s">
        <v>170</v>
      </c>
      <c r="C49" s="226">
        <f>2185.15+720+6300+3000+1000+770.36</f>
        <v>13975.51</v>
      </c>
      <c r="D49" s="173"/>
      <c r="E49" s="121">
        <v>10000</v>
      </c>
      <c r="F49" s="138"/>
      <c r="G49" s="226">
        <f>694+1120+4312+270+2564.91+250</f>
        <v>9210.91</v>
      </c>
      <c r="H49" s="117"/>
      <c r="I49" s="117"/>
      <c r="J49" s="121">
        <v>15000</v>
      </c>
    </row>
    <row r="50" spans="2:10" s="73" customFormat="1" ht="9" customHeight="1" thickBot="1">
      <c r="B50" s="29"/>
      <c r="C50" s="16"/>
      <c r="D50" s="29"/>
      <c r="E50" s="16"/>
      <c r="F50" s="29"/>
      <c r="G50" s="16"/>
      <c r="H50" s="5"/>
      <c r="I50" s="5"/>
      <c r="J50" s="16"/>
    </row>
    <row r="51" spans="2:10" s="31" customFormat="1" ht="21" customHeight="1" thickBot="1">
      <c r="B51" s="79" t="s">
        <v>13</v>
      </c>
      <c r="C51" s="91">
        <f>SUM(C53:C58)</f>
        <v>316737.11</v>
      </c>
      <c r="D51" s="170"/>
      <c r="E51" s="91">
        <f>SUM(E53:E58)</f>
        <v>280225</v>
      </c>
      <c r="F51" s="144"/>
      <c r="G51" s="91">
        <f>SUM(G53:G58)</f>
        <v>491410.92</v>
      </c>
      <c r="H51" s="35"/>
      <c r="I51" s="35"/>
      <c r="J51" s="91">
        <f>SUM(J53:J58)</f>
        <v>420930</v>
      </c>
    </row>
    <row r="52" spans="2:10" s="8" customFormat="1" ht="3" customHeight="1" thickBot="1">
      <c r="B52" s="30"/>
      <c r="C52" s="15"/>
      <c r="D52" s="30"/>
      <c r="E52" s="15"/>
      <c r="F52" s="30"/>
      <c r="G52" s="15"/>
      <c r="H52" s="10"/>
      <c r="I52" s="10"/>
      <c r="J52" s="15"/>
    </row>
    <row r="53" spans="2:10" s="31" customFormat="1" ht="14.25">
      <c r="B53" s="111" t="s">
        <v>52</v>
      </c>
      <c r="C53" s="218">
        <f>78320+53800.74+1440</f>
        <v>133560.74</v>
      </c>
      <c r="D53" s="174"/>
      <c r="E53" s="127">
        <v>110000</v>
      </c>
      <c r="F53" s="139"/>
      <c r="G53" s="218">
        <v>304544.5</v>
      </c>
      <c r="H53" s="120"/>
      <c r="I53" s="120"/>
      <c r="J53" s="127">
        <v>220000</v>
      </c>
    </row>
    <row r="54" spans="2:10" s="31" customFormat="1" ht="14.25" customHeight="1">
      <c r="B54" s="110" t="s">
        <v>118</v>
      </c>
      <c r="C54" s="214">
        <v>143708.35</v>
      </c>
      <c r="D54" s="175"/>
      <c r="E54" s="214">
        <v>145000</v>
      </c>
      <c r="F54" s="140"/>
      <c r="G54" s="214">
        <v>149605.19</v>
      </c>
      <c r="H54" s="120"/>
      <c r="I54" s="120"/>
      <c r="J54" s="214">
        <v>155000</v>
      </c>
    </row>
    <row r="55" spans="1:10" s="31" customFormat="1" ht="14.25">
      <c r="A55" s="108"/>
      <c r="B55" s="100" t="s">
        <v>47</v>
      </c>
      <c r="C55" s="217">
        <v>3309.96</v>
      </c>
      <c r="D55" s="173"/>
      <c r="E55" s="124">
        <v>3310</v>
      </c>
      <c r="F55" s="138"/>
      <c r="G55" s="217">
        <v>2578</v>
      </c>
      <c r="H55" s="120"/>
      <c r="I55" s="120"/>
      <c r="J55" s="124">
        <v>2579</v>
      </c>
    </row>
    <row r="56" spans="1:10" s="31" customFormat="1" ht="15" customHeight="1">
      <c r="A56" s="107"/>
      <c r="B56" s="100" t="s">
        <v>135</v>
      </c>
      <c r="C56" s="216">
        <v>18895.69</v>
      </c>
      <c r="D56" s="173"/>
      <c r="E56" s="216">
        <v>7415</v>
      </c>
      <c r="F56" s="138"/>
      <c r="G56" s="216">
        <v>7415.08</v>
      </c>
      <c r="H56" s="120"/>
      <c r="I56" s="120"/>
      <c r="J56" s="216">
        <v>6551</v>
      </c>
    </row>
    <row r="57" spans="1:10" s="31" customFormat="1" ht="15" customHeight="1">
      <c r="A57" s="107"/>
      <c r="B57" s="100" t="s">
        <v>136</v>
      </c>
      <c r="C57" s="216">
        <v>2989.76</v>
      </c>
      <c r="D57" s="173"/>
      <c r="E57" s="124">
        <v>4500</v>
      </c>
      <c r="F57" s="138"/>
      <c r="G57" s="216">
        <v>21425.6</v>
      </c>
      <c r="H57" s="120"/>
      <c r="I57" s="120"/>
      <c r="J57" s="124">
        <v>21800</v>
      </c>
    </row>
    <row r="58" spans="1:10" s="31" customFormat="1" ht="14.25" customHeight="1" thickBot="1">
      <c r="A58" s="107"/>
      <c r="B58" s="41" t="s">
        <v>137</v>
      </c>
      <c r="C58" s="226">
        <f>4500+400+450+400+0.61+4522+4000</f>
        <v>14272.61</v>
      </c>
      <c r="D58" s="173"/>
      <c r="E58" s="126">
        <v>10000</v>
      </c>
      <c r="F58" s="138"/>
      <c r="G58" s="226">
        <f>290.48+5552.07</f>
        <v>5842.549999999999</v>
      </c>
      <c r="H58" s="120"/>
      <c r="I58" s="120"/>
      <c r="J58" s="126">
        <v>15000</v>
      </c>
    </row>
    <row r="59" spans="2:10" s="31" customFormat="1" ht="24" customHeight="1" thickBot="1">
      <c r="B59" s="113" t="s">
        <v>48</v>
      </c>
      <c r="C59" s="231">
        <f>+C51+C30+C23+C9</f>
        <v>5109198.829999999</v>
      </c>
      <c r="D59" s="176"/>
      <c r="E59" s="231">
        <f>+E51+E30+E23+E9</f>
        <v>6006334</v>
      </c>
      <c r="F59" s="146"/>
      <c r="G59" s="231">
        <f>+G51+G30+G23+G9</f>
        <v>6791076.02</v>
      </c>
      <c r="H59" s="87"/>
      <c r="I59" s="87"/>
      <c r="J59" s="231">
        <f>+J51+J30+J23+J9</f>
        <v>7158700</v>
      </c>
    </row>
    <row r="60" spans="2:10" s="8" customFormat="1" ht="17.25" customHeight="1" thickBot="1">
      <c r="B60" s="12"/>
      <c r="C60" s="17"/>
      <c r="E60" s="17"/>
      <c r="G60" s="17"/>
      <c r="H60" s="4"/>
      <c r="I60" s="4"/>
      <c r="J60" s="17"/>
    </row>
    <row r="61" spans="2:10" s="31" customFormat="1" ht="21" customHeight="1" thickBot="1">
      <c r="B61" s="79" t="s">
        <v>14</v>
      </c>
      <c r="C61" s="91">
        <f>SUM(C63:C72)</f>
        <v>1325723.46</v>
      </c>
      <c r="D61" s="170"/>
      <c r="E61" s="91">
        <f>SUM(E63:E72)</f>
        <v>2240446</v>
      </c>
      <c r="F61" s="144"/>
      <c r="G61" s="91">
        <f>SUM(G63:G72)</f>
        <v>3776093.02</v>
      </c>
      <c r="H61" s="35"/>
      <c r="I61" s="35"/>
      <c r="J61" s="91">
        <f>SUM(J63:J72)</f>
        <v>3407250</v>
      </c>
    </row>
    <row r="62" spans="2:10" s="8" customFormat="1" ht="5.25" customHeight="1" thickBot="1">
      <c r="B62" s="21"/>
      <c r="C62" s="15"/>
      <c r="D62" s="30"/>
      <c r="E62" s="15"/>
      <c r="F62" s="30"/>
      <c r="G62" s="15"/>
      <c r="H62" s="10"/>
      <c r="I62" s="10"/>
      <c r="J62" s="15"/>
    </row>
    <row r="63" spans="2:10" s="31" customFormat="1" ht="14.25" customHeight="1">
      <c r="B63" s="200" t="s">
        <v>219</v>
      </c>
      <c r="C63" s="218">
        <v>25334.38</v>
      </c>
      <c r="D63" s="175"/>
      <c r="E63" s="218">
        <v>25000</v>
      </c>
      <c r="F63" s="140"/>
      <c r="G63" s="218">
        <v>31194.6</v>
      </c>
      <c r="H63" s="39"/>
      <c r="I63" s="39"/>
      <c r="J63" s="218">
        <v>31200</v>
      </c>
    </row>
    <row r="64" spans="2:10" s="31" customFormat="1" ht="14.25" customHeight="1">
      <c r="B64" s="40" t="s">
        <v>217</v>
      </c>
      <c r="C64" s="214">
        <f>16146.3+217880</f>
        <v>234026.3</v>
      </c>
      <c r="D64" s="173"/>
      <c r="E64" s="214">
        <f>633500</f>
        <v>633500</v>
      </c>
      <c r="F64" s="138"/>
      <c r="G64" s="214">
        <f>8500+285768.37+16157</f>
        <v>310425.37</v>
      </c>
      <c r="H64" s="39"/>
      <c r="I64" s="39"/>
      <c r="J64" s="214">
        <v>1902000</v>
      </c>
    </row>
    <row r="65" spans="2:10" s="31" customFormat="1" ht="14.25" customHeight="1">
      <c r="B65" s="40" t="s">
        <v>157</v>
      </c>
      <c r="C65" s="214">
        <v>180000</v>
      </c>
      <c r="D65" s="173"/>
      <c r="E65" s="214">
        <v>750000</v>
      </c>
      <c r="F65" s="138"/>
      <c r="G65" s="214">
        <f>1291461.33+350000+113504.99+49541</f>
        <v>1804507.32</v>
      </c>
      <c r="H65" s="39"/>
      <c r="I65" s="39"/>
      <c r="J65" s="214">
        <f>70000+150000+100000+150000</f>
        <v>470000</v>
      </c>
    </row>
    <row r="66" spans="2:10" ht="14.25" customHeight="1">
      <c r="B66" s="37" t="s">
        <v>158</v>
      </c>
      <c r="C66" s="216">
        <v>263808.17</v>
      </c>
      <c r="D66" s="177"/>
      <c r="E66" s="118">
        <v>255938</v>
      </c>
      <c r="F66" s="32"/>
      <c r="G66" s="216">
        <v>268798.38</v>
      </c>
      <c r="H66" s="5"/>
      <c r="I66" s="5"/>
      <c r="J66" s="118">
        <v>268800</v>
      </c>
    </row>
    <row r="67" spans="2:10" ht="14.25" customHeight="1">
      <c r="B67" s="37" t="s">
        <v>159</v>
      </c>
      <c r="C67" s="216">
        <v>70705.13</v>
      </c>
      <c r="D67" s="177"/>
      <c r="E67" s="215">
        <v>16125</v>
      </c>
      <c r="F67" s="32"/>
      <c r="G67" s="216">
        <v>16993.55</v>
      </c>
      <c r="H67" s="5"/>
      <c r="I67" s="5"/>
      <c r="J67" s="215">
        <v>37250</v>
      </c>
    </row>
    <row r="68" spans="2:10" ht="14.25" customHeight="1">
      <c r="B68" s="37" t="s">
        <v>160</v>
      </c>
      <c r="C68" s="216">
        <v>2000</v>
      </c>
      <c r="D68" s="177"/>
      <c r="E68" s="215">
        <v>2000</v>
      </c>
      <c r="F68" s="32"/>
      <c r="G68" s="216">
        <v>0</v>
      </c>
      <c r="H68" s="5"/>
      <c r="I68" s="5"/>
      <c r="J68" s="215">
        <v>0</v>
      </c>
    </row>
    <row r="69" spans="2:10" ht="14.25" customHeight="1">
      <c r="B69" s="37" t="s">
        <v>203</v>
      </c>
      <c r="C69" s="216">
        <v>0</v>
      </c>
      <c r="D69" s="177"/>
      <c r="E69" s="118">
        <v>0</v>
      </c>
      <c r="F69" s="32"/>
      <c r="G69" s="216">
        <v>0</v>
      </c>
      <c r="H69" s="5"/>
      <c r="I69" s="5"/>
      <c r="J69" s="118">
        <f>110000+38000</f>
        <v>148000</v>
      </c>
    </row>
    <row r="70" spans="2:10" ht="14.25" customHeight="1">
      <c r="B70" s="37" t="s">
        <v>204</v>
      </c>
      <c r="C70" s="216">
        <f>549429.48+420</f>
        <v>549849.48</v>
      </c>
      <c r="D70" s="177"/>
      <c r="E70" s="118">
        <f>312944+244937+2</f>
        <v>557883</v>
      </c>
      <c r="F70" s="32"/>
      <c r="G70" s="216">
        <f>647741+59948.18+53131.52+70000+40000+60000+150000+12368.34+117742.64+1670+8900+3005+69667.12+50000</f>
        <v>1344173.8000000003</v>
      </c>
      <c r="H70" s="5"/>
      <c r="I70" s="5"/>
      <c r="J70" s="118">
        <v>200000</v>
      </c>
    </row>
    <row r="71" spans="2:10" ht="14.25" customHeight="1">
      <c r="B71" s="37" t="s">
        <v>205</v>
      </c>
      <c r="C71" s="124">
        <v>0</v>
      </c>
      <c r="D71" s="177"/>
      <c r="E71" s="220"/>
      <c r="F71" s="32"/>
      <c r="G71" s="124"/>
      <c r="H71" s="5"/>
      <c r="I71" s="5"/>
      <c r="J71" s="220">
        <v>350000</v>
      </c>
    </row>
    <row r="72" spans="2:10" ht="14.25" customHeight="1" thickBot="1">
      <c r="B72" s="167" t="s">
        <v>206</v>
      </c>
      <c r="C72" s="148"/>
      <c r="D72" s="178"/>
      <c r="E72" s="148"/>
      <c r="F72" s="141"/>
      <c r="G72" s="126"/>
      <c r="H72" s="5"/>
      <c r="I72" s="5"/>
      <c r="J72" s="148"/>
    </row>
    <row r="73" spans="2:10" ht="9" customHeight="1" thickBot="1">
      <c r="B73" s="32"/>
      <c r="C73" s="16"/>
      <c r="D73" s="32"/>
      <c r="E73" s="16"/>
      <c r="F73" s="32"/>
      <c r="G73" s="16"/>
      <c r="H73" s="5"/>
      <c r="I73" s="5"/>
      <c r="J73" s="16"/>
    </row>
    <row r="74" spans="2:10" s="11" customFormat="1" ht="27" customHeight="1" thickBot="1">
      <c r="B74" s="114" t="s">
        <v>49</v>
      </c>
      <c r="C74" s="232">
        <f>+C59+C61</f>
        <v>6434922.289999999</v>
      </c>
      <c r="D74" s="179"/>
      <c r="E74" s="244">
        <f>+E59+E61</f>
        <v>8246780</v>
      </c>
      <c r="F74" s="147"/>
      <c r="G74" s="232">
        <f>+G59+G61</f>
        <v>10567169.04</v>
      </c>
      <c r="H74" s="88"/>
      <c r="I74" s="88"/>
      <c r="J74" s="244">
        <f>+J59+J61</f>
        <v>10565950</v>
      </c>
    </row>
    <row r="75" spans="3:10" ht="12.75">
      <c r="C75" s="17"/>
      <c r="E75" s="17"/>
      <c r="G75" s="17"/>
      <c r="H75" s="4"/>
      <c r="I75" s="4"/>
      <c r="J75" s="17"/>
    </row>
    <row r="77" ht="51.75" customHeight="1"/>
  </sheetData>
  <sheetProtection/>
  <mergeCells count="8">
    <mergeCell ref="A1:J1"/>
    <mergeCell ref="A2:J2"/>
    <mergeCell ref="A4:J4"/>
    <mergeCell ref="G7:G8"/>
    <mergeCell ref="J7:J8"/>
    <mergeCell ref="E7:E8"/>
    <mergeCell ref="B5:J5"/>
    <mergeCell ref="C7:C8"/>
  </mergeCells>
  <printOptions/>
  <pageMargins left="0.2755905511811024" right="0.15748031496062992" top="0.2755905511811024" bottom="0.1968503937007874" header="0.15748031496062992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8"/>
  <sheetViews>
    <sheetView zoomScale="75" zoomScaleNormal="75" zoomScalePageLayoutView="0" workbookViewId="0" topLeftCell="A1">
      <selection activeCell="I18" sqref="I18"/>
    </sheetView>
  </sheetViews>
  <sheetFormatPr defaultColWidth="11.421875" defaultRowHeight="12.75"/>
  <cols>
    <col min="1" max="1" width="82.57421875" style="0" bestFit="1" customWidth="1"/>
    <col min="2" max="2" width="0.71875" style="0" customWidth="1"/>
    <col min="3" max="3" width="18.7109375" style="0" customWidth="1"/>
    <col min="4" max="4" width="18.28125" style="0" customWidth="1"/>
    <col min="5" max="5" width="0.71875" style="0" customWidth="1"/>
    <col min="6" max="6" width="18.28125" style="0" customWidth="1"/>
    <col min="7" max="7" width="13.28125" style="43" bestFit="1" customWidth="1"/>
  </cols>
  <sheetData>
    <row r="2" spans="1:7" ht="33.75">
      <c r="A2" s="257" t="s">
        <v>27</v>
      </c>
      <c r="B2" s="257"/>
      <c r="C2" s="257"/>
      <c r="D2" s="257"/>
      <c r="E2" s="257"/>
      <c r="F2" s="257"/>
      <c r="G2" s="257"/>
    </row>
    <row r="3" spans="1:7" ht="23.25">
      <c r="A3" s="258" t="s">
        <v>28</v>
      </c>
      <c r="B3" s="258"/>
      <c r="C3" s="258"/>
      <c r="D3" s="258"/>
      <c r="E3" s="258"/>
      <c r="F3" s="258"/>
      <c r="G3" s="258"/>
    </row>
    <row r="4" spans="1:7" ht="23.25">
      <c r="A4" s="259" t="s">
        <v>199</v>
      </c>
      <c r="B4" s="259"/>
      <c r="C4" s="259"/>
      <c r="D4" s="259"/>
      <c r="E4" s="259"/>
      <c r="F4" s="259"/>
      <c r="G4" s="259"/>
    </row>
    <row r="5" spans="1:7" ht="18.75">
      <c r="A5" s="260" t="s">
        <v>36</v>
      </c>
      <c r="B5" s="260"/>
      <c r="C5" s="260"/>
      <c r="D5" s="260"/>
      <c r="E5" s="260"/>
      <c r="F5" s="260"/>
      <c r="G5" s="260"/>
    </row>
    <row r="6" spans="1:7" ht="23.25">
      <c r="A6" s="68"/>
      <c r="B6" s="68"/>
      <c r="C6" s="68"/>
      <c r="D6" s="68"/>
      <c r="E6" s="68"/>
      <c r="F6" s="68"/>
      <c r="G6" s="68"/>
    </row>
    <row r="7" ht="13.5" thickBot="1"/>
    <row r="8" spans="1:18" ht="23.25">
      <c r="A8" s="69" t="s">
        <v>18</v>
      </c>
      <c r="B8" s="62"/>
      <c r="C8" s="50" t="s">
        <v>86</v>
      </c>
      <c r="D8" s="50" t="s">
        <v>25</v>
      </c>
      <c r="E8" s="57"/>
      <c r="F8" s="66" t="s">
        <v>19</v>
      </c>
      <c r="G8" s="51" t="s">
        <v>20</v>
      </c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</row>
    <row r="9" spans="1:12" ht="24" thickBot="1">
      <c r="A9" s="69" t="s">
        <v>26</v>
      </c>
      <c r="B9" s="63"/>
      <c r="C9" s="52">
        <v>2023</v>
      </c>
      <c r="D9" s="52">
        <v>2024</v>
      </c>
      <c r="E9" s="58"/>
      <c r="F9" s="67" t="s">
        <v>21</v>
      </c>
      <c r="G9" s="53" t="s">
        <v>22</v>
      </c>
      <c r="L9" s="1"/>
    </row>
    <row r="10" spans="1:7" ht="18">
      <c r="A10" s="44" t="s">
        <v>11</v>
      </c>
      <c r="B10" s="64"/>
      <c r="C10" s="55">
        <f>Ingresos!G9</f>
        <v>942061.3000000002</v>
      </c>
      <c r="D10" s="55">
        <f>+Ingresos!J9</f>
        <v>1110000</v>
      </c>
      <c r="E10" s="59"/>
      <c r="F10" s="245">
        <f>+D10-C10</f>
        <v>167938.69999999984</v>
      </c>
      <c r="G10" s="246">
        <f aca="true" t="shared" si="0" ref="G10:G15">+F10/C10</f>
        <v>0.1782672741147522</v>
      </c>
    </row>
    <row r="11" spans="1:7" ht="18">
      <c r="A11" s="45" t="s">
        <v>23</v>
      </c>
      <c r="B11" s="64"/>
      <c r="C11" s="46">
        <f>Ingresos!G23</f>
        <v>3766525.0999999996</v>
      </c>
      <c r="D11" s="46">
        <f>+Ingresos!J23</f>
        <v>3868538</v>
      </c>
      <c r="E11" s="60"/>
      <c r="F11" s="235">
        <f>+D11-C11</f>
        <v>102012.90000000037</v>
      </c>
      <c r="G11" s="236">
        <f t="shared" si="0"/>
        <v>0.027084088726768443</v>
      </c>
    </row>
    <row r="12" spans="1:7" ht="18">
      <c r="A12" s="45" t="s">
        <v>12</v>
      </c>
      <c r="B12" s="64"/>
      <c r="C12" s="46">
        <f>Ingresos!G30</f>
        <v>1591078.7</v>
      </c>
      <c r="D12" s="46">
        <f>+Ingresos!J30</f>
        <v>1759232</v>
      </c>
      <c r="E12" s="60"/>
      <c r="F12" s="233">
        <f>+D12-C12</f>
        <v>168153.30000000005</v>
      </c>
      <c r="G12" s="234">
        <f t="shared" si="0"/>
        <v>0.10568509276128205</v>
      </c>
    </row>
    <row r="13" spans="1:7" ht="18">
      <c r="A13" s="45" t="s">
        <v>13</v>
      </c>
      <c r="B13" s="64"/>
      <c r="C13" s="46">
        <f>Ingresos!G51</f>
        <v>491410.92</v>
      </c>
      <c r="D13" s="46">
        <f>+Ingresos!J51</f>
        <v>420930</v>
      </c>
      <c r="E13" s="60"/>
      <c r="F13" s="98">
        <f>+D13-C13</f>
        <v>-70480.91999999998</v>
      </c>
      <c r="G13" s="99">
        <f t="shared" si="0"/>
        <v>-0.1434256283926291</v>
      </c>
    </row>
    <row r="14" spans="1:7" ht="18.75" thickBot="1">
      <c r="A14" s="45" t="s">
        <v>14</v>
      </c>
      <c r="B14" s="64"/>
      <c r="C14" s="47">
        <f>Ingresos!G61</f>
        <v>3776093.02</v>
      </c>
      <c r="D14" s="47">
        <f>+Ingresos!J61</f>
        <v>3407250</v>
      </c>
      <c r="E14" s="60"/>
      <c r="F14" s="239">
        <f>+D14-C14</f>
        <v>-368843.02</v>
      </c>
      <c r="G14" s="240">
        <f t="shared" si="0"/>
        <v>-0.09767847827011424</v>
      </c>
    </row>
    <row r="15" spans="1:7" ht="18.75" thickBot="1">
      <c r="A15" s="70" t="s">
        <v>24</v>
      </c>
      <c r="B15" s="65"/>
      <c r="C15" s="49">
        <f>SUM(C10:C14)</f>
        <v>10567169.04</v>
      </c>
      <c r="D15" s="48">
        <f>SUM(D10:D14)</f>
        <v>10565950</v>
      </c>
      <c r="E15" s="56"/>
      <c r="F15" s="249">
        <f>SUM(F10:F14)</f>
        <v>-1219.0399999997462</v>
      </c>
      <c r="G15" s="250">
        <f t="shared" si="0"/>
        <v>-0.00011536107687738346</v>
      </c>
    </row>
    <row r="16" ht="6.75" customHeight="1"/>
    <row r="17" ht="6.75" customHeight="1"/>
    <row r="18" spans="2:7" ht="23.25">
      <c r="B18" s="54"/>
      <c r="C18" s="54"/>
      <c r="D18" s="54"/>
      <c r="E18" s="54"/>
      <c r="F18" s="54"/>
      <c r="G18" s="54"/>
    </row>
  </sheetData>
  <sheetProtection/>
  <mergeCells count="4">
    <mergeCell ref="A2:G2"/>
    <mergeCell ref="A3:G3"/>
    <mergeCell ref="A4:G4"/>
    <mergeCell ref="A5:G5"/>
  </mergeCells>
  <printOptions/>
  <pageMargins left="0.38" right="0.1968503937007874" top="0.5905511811023623" bottom="0.3937007874015748" header="0.5905511811023623" footer="0.1968503937007874"/>
  <pageSetup fitToHeight="1" fitToWidth="1" horizontalDpi="300" verticalDpi="300" orientation="landscape" paperSize="9" scale="95" r:id="rId2"/>
  <headerFooter alignWithMargins="0">
    <oddHeader xml:space="preserve">&amp;C&amp;"Rockwell,Negrita"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5"/>
  <sheetViews>
    <sheetView zoomScalePageLayoutView="0" workbookViewId="0" topLeftCell="C3">
      <selection activeCell="J53" sqref="J1:N16384"/>
    </sheetView>
  </sheetViews>
  <sheetFormatPr defaultColWidth="11.421875" defaultRowHeight="12.75"/>
  <cols>
    <col min="1" max="1" width="2.7109375" style="71" customWidth="1"/>
    <col min="2" max="2" width="58.57421875" style="71" customWidth="1"/>
    <col min="3" max="3" width="18.7109375" style="93" customWidth="1"/>
    <col min="4" max="4" width="2.7109375" style="74" customWidth="1"/>
    <col min="5" max="5" width="18.7109375" style="93" customWidth="1"/>
    <col min="6" max="6" width="2.7109375" style="74" customWidth="1"/>
    <col min="7" max="7" width="18.7109375" style="93" customWidth="1"/>
    <col min="8" max="8" width="2.7109375" style="150" customWidth="1"/>
    <col min="9" max="9" width="18.7109375" style="93" customWidth="1"/>
    <col min="10" max="16384" width="11.421875" style="71" customWidth="1"/>
  </cols>
  <sheetData>
    <row r="1" spans="2:9" ht="26.25" customHeight="1">
      <c r="B1" s="251" t="s">
        <v>15</v>
      </c>
      <c r="C1" s="251"/>
      <c r="D1" s="251"/>
      <c r="E1" s="251"/>
      <c r="F1" s="251"/>
      <c r="G1" s="251"/>
      <c r="H1" s="251"/>
      <c r="I1" s="251"/>
    </row>
    <row r="2" spans="2:9" ht="26.25" customHeight="1">
      <c r="B2" s="252" t="s">
        <v>96</v>
      </c>
      <c r="C2" s="252"/>
      <c r="D2" s="252"/>
      <c r="E2" s="252"/>
      <c r="F2" s="252"/>
      <c r="G2" s="252"/>
      <c r="H2" s="252"/>
      <c r="I2" s="252"/>
    </row>
    <row r="3" spans="2:9" ht="36.75" customHeight="1">
      <c r="B3" s="253"/>
      <c r="C3" s="253"/>
      <c r="D3" s="253"/>
      <c r="E3" s="253"/>
      <c r="F3" s="253"/>
      <c r="G3" s="253"/>
      <c r="H3" s="253"/>
      <c r="I3" s="253"/>
    </row>
    <row r="4" spans="2:9" ht="23.25">
      <c r="B4" s="256" t="s">
        <v>126</v>
      </c>
      <c r="C4" s="256"/>
      <c r="D4" s="256"/>
      <c r="E4" s="256"/>
      <c r="F4" s="256"/>
      <c r="G4" s="256"/>
      <c r="H4" s="256"/>
      <c r="I4" s="256"/>
    </row>
    <row r="5" spans="2:9" ht="18" customHeight="1" thickBot="1">
      <c r="B5" s="133"/>
      <c r="C5" s="225"/>
      <c r="D5" s="157"/>
      <c r="E5" s="133"/>
      <c r="F5" s="133"/>
      <c r="G5" s="225"/>
      <c r="H5" s="133"/>
      <c r="I5" s="133"/>
    </row>
    <row r="6" spans="2:9" ht="23.25" customHeight="1">
      <c r="B6" s="133" t="s">
        <v>35</v>
      </c>
      <c r="C6" s="254" t="s">
        <v>192</v>
      </c>
      <c r="D6" s="157"/>
      <c r="E6" s="254" t="s">
        <v>162</v>
      </c>
      <c r="F6" s="157"/>
      <c r="G6" s="254" t="s">
        <v>193</v>
      </c>
      <c r="H6" s="142"/>
      <c r="I6" s="254" t="s">
        <v>191</v>
      </c>
    </row>
    <row r="7" spans="2:9" ht="28.5" customHeight="1" thickBot="1">
      <c r="B7" s="134"/>
      <c r="C7" s="255"/>
      <c r="D7" s="134"/>
      <c r="E7" s="255"/>
      <c r="F7" s="134"/>
      <c r="G7" s="255"/>
      <c r="H7" s="151"/>
      <c r="I7" s="255"/>
    </row>
    <row r="8" spans="2:9" s="75" customFormat="1" ht="20.25" customHeight="1" thickBot="1">
      <c r="B8" s="80" t="s">
        <v>0</v>
      </c>
      <c r="C8" s="94">
        <f>+C10+C18+C52+C63+C69</f>
        <v>1438152.82</v>
      </c>
      <c r="D8" s="182"/>
      <c r="E8" s="94">
        <f>+E10+E18+E52+E63+E69</f>
        <v>1893434</v>
      </c>
      <c r="F8" s="158"/>
      <c r="G8" s="94">
        <f>+G10+G18+G52+G63+G69</f>
        <v>2053561.4200000004</v>
      </c>
      <c r="H8" s="152"/>
      <c r="I8" s="94">
        <f>+I10+I18+I52+I63+I69</f>
        <v>2158354</v>
      </c>
    </row>
    <row r="9" spans="2:9" s="76" customFormat="1" ht="9" customHeight="1" thickBot="1">
      <c r="B9" s="33"/>
      <c r="C9" s="34"/>
      <c r="D9" s="158"/>
      <c r="E9" s="34"/>
      <c r="F9" s="158"/>
      <c r="G9" s="34"/>
      <c r="H9" s="152"/>
      <c r="I9" s="34"/>
    </row>
    <row r="10" spans="2:9" s="75" customFormat="1" ht="16.5" customHeight="1" thickBot="1">
      <c r="B10" s="81" t="s">
        <v>1</v>
      </c>
      <c r="C10" s="95">
        <f>SUM(C11:C17)</f>
        <v>13176.47</v>
      </c>
      <c r="D10" s="182"/>
      <c r="E10" s="95">
        <f>SUM(E11:E17)</f>
        <v>21000</v>
      </c>
      <c r="F10" s="158"/>
      <c r="G10" s="95">
        <f>SUM(G11:G17)</f>
        <v>10260.5</v>
      </c>
      <c r="H10" s="153"/>
      <c r="I10" s="95">
        <f>SUM(I11:I17)</f>
        <v>21000</v>
      </c>
    </row>
    <row r="11" spans="2:9" ht="14.25">
      <c r="B11" s="2" t="s">
        <v>54</v>
      </c>
      <c r="C11" s="230">
        <v>2289.86</v>
      </c>
      <c r="D11" s="180"/>
      <c r="E11" s="116">
        <v>4000</v>
      </c>
      <c r="F11" s="29"/>
      <c r="G11" s="230">
        <v>2034.82</v>
      </c>
      <c r="H11" s="154"/>
      <c r="I11" s="116">
        <v>4000</v>
      </c>
    </row>
    <row r="12" spans="2:9" ht="14.25">
      <c r="B12" s="27" t="s">
        <v>55</v>
      </c>
      <c r="C12" s="216">
        <v>0</v>
      </c>
      <c r="D12" s="181"/>
      <c r="E12" s="118">
        <v>1000</v>
      </c>
      <c r="F12" s="29"/>
      <c r="G12" s="216">
        <v>0</v>
      </c>
      <c r="H12" s="154"/>
      <c r="I12" s="118">
        <v>1000</v>
      </c>
    </row>
    <row r="13" spans="2:9" ht="14.25">
      <c r="B13" s="27" t="s">
        <v>56</v>
      </c>
      <c r="C13" s="216">
        <v>245</v>
      </c>
      <c r="D13" s="181"/>
      <c r="E13" s="118">
        <v>1000</v>
      </c>
      <c r="F13" s="29"/>
      <c r="G13" s="216">
        <v>77</v>
      </c>
      <c r="H13" s="154"/>
      <c r="I13" s="118">
        <v>1000</v>
      </c>
    </row>
    <row r="14" spans="2:9" ht="14.25">
      <c r="B14" s="27" t="s">
        <v>57</v>
      </c>
      <c r="C14" s="216">
        <v>245</v>
      </c>
      <c r="D14" s="181"/>
      <c r="E14" s="118">
        <v>1000</v>
      </c>
      <c r="F14" s="29"/>
      <c r="G14" s="216">
        <v>0</v>
      </c>
      <c r="H14" s="154"/>
      <c r="I14" s="118">
        <v>1000</v>
      </c>
    </row>
    <row r="15" spans="2:9" ht="14.25">
      <c r="B15" s="27" t="s">
        <v>58</v>
      </c>
      <c r="C15" s="216">
        <v>592.38</v>
      </c>
      <c r="D15" s="181"/>
      <c r="E15" s="118">
        <v>1000</v>
      </c>
      <c r="F15" s="29"/>
      <c r="G15" s="216">
        <v>338.8</v>
      </c>
      <c r="H15" s="154"/>
      <c r="I15" s="118">
        <v>1000</v>
      </c>
    </row>
    <row r="16" spans="2:9" ht="14.25">
      <c r="B16" s="27" t="s">
        <v>164</v>
      </c>
      <c r="C16" s="241">
        <v>245</v>
      </c>
      <c r="D16" s="181"/>
      <c r="E16" s="242">
        <v>1000</v>
      </c>
      <c r="F16" s="29"/>
      <c r="G16" s="241">
        <v>128.4</v>
      </c>
      <c r="H16" s="154"/>
      <c r="I16" s="242">
        <v>1000</v>
      </c>
    </row>
    <row r="17" spans="2:9" ht="15" thickBot="1">
      <c r="B17" s="27" t="s">
        <v>163</v>
      </c>
      <c r="C17" s="226">
        <v>9559.23</v>
      </c>
      <c r="D17" s="181"/>
      <c r="E17" s="222">
        <v>12000</v>
      </c>
      <c r="F17" s="29"/>
      <c r="G17" s="226">
        <v>7681.48</v>
      </c>
      <c r="H17" s="154"/>
      <c r="I17" s="222">
        <v>12000</v>
      </c>
    </row>
    <row r="18" spans="2:9" s="75" customFormat="1" ht="16.5" thickBot="1">
      <c r="B18" s="101" t="s">
        <v>39</v>
      </c>
      <c r="C18" s="95">
        <f>SUM(C19:C51)</f>
        <v>401726.30000000005</v>
      </c>
      <c r="D18" s="183"/>
      <c r="E18" s="95">
        <f>SUM(E19:E51)</f>
        <v>437973</v>
      </c>
      <c r="F18" s="159"/>
      <c r="G18" s="95">
        <f>SUM(G19:G51)</f>
        <v>438755.10000000003</v>
      </c>
      <c r="H18" s="153"/>
      <c r="I18" s="95">
        <f>SUM(I19:I51)</f>
        <v>400180</v>
      </c>
    </row>
    <row r="19" spans="2:9" ht="14.25" customHeight="1">
      <c r="B19" s="2" t="s">
        <v>100</v>
      </c>
      <c r="C19" s="216">
        <v>6152.5</v>
      </c>
      <c r="D19" s="180"/>
      <c r="E19" s="118">
        <v>11500</v>
      </c>
      <c r="F19" s="29"/>
      <c r="G19" s="216">
        <v>5719.55</v>
      </c>
      <c r="H19" s="154"/>
      <c r="I19" s="118">
        <v>12000</v>
      </c>
    </row>
    <row r="20" spans="2:9" ht="14.25" customHeight="1">
      <c r="B20" s="2" t="s">
        <v>101</v>
      </c>
      <c r="C20" s="214">
        <v>391.03</v>
      </c>
      <c r="D20" s="180"/>
      <c r="E20" s="125">
        <v>3000</v>
      </c>
      <c r="F20" s="29"/>
      <c r="G20" s="214">
        <v>996.5</v>
      </c>
      <c r="H20" s="155"/>
      <c r="I20" s="125">
        <v>3000</v>
      </c>
    </row>
    <row r="21" spans="2:9" ht="14.25">
      <c r="B21" s="27" t="s">
        <v>102</v>
      </c>
      <c r="C21" s="216">
        <v>246.2</v>
      </c>
      <c r="D21" s="181"/>
      <c r="E21" s="215">
        <v>1000</v>
      </c>
      <c r="F21" s="29"/>
      <c r="G21" s="216">
        <v>138.08</v>
      </c>
      <c r="H21" s="154"/>
      <c r="I21" s="215">
        <v>1000</v>
      </c>
    </row>
    <row r="22" spans="2:9" ht="14.25" customHeight="1">
      <c r="B22" s="2" t="s">
        <v>103</v>
      </c>
      <c r="C22" s="214">
        <v>7971.5</v>
      </c>
      <c r="D22" s="180"/>
      <c r="E22" s="125">
        <v>1000</v>
      </c>
      <c r="F22" s="29"/>
      <c r="G22" s="214">
        <v>1712</v>
      </c>
      <c r="H22" s="155"/>
      <c r="I22" s="125">
        <v>1000</v>
      </c>
    </row>
    <row r="23" spans="2:9" ht="14.25" customHeight="1">
      <c r="B23" s="2" t="s">
        <v>104</v>
      </c>
      <c r="C23" s="214">
        <v>892.92</v>
      </c>
      <c r="D23" s="180"/>
      <c r="E23" s="125">
        <v>1500</v>
      </c>
      <c r="F23" s="29"/>
      <c r="G23" s="214">
        <v>681.57</v>
      </c>
      <c r="H23" s="155"/>
      <c r="I23" s="125">
        <v>1500</v>
      </c>
    </row>
    <row r="24" spans="2:9" ht="14.25" customHeight="1">
      <c r="B24" s="2" t="s">
        <v>188</v>
      </c>
      <c r="C24" s="214">
        <v>960.91</v>
      </c>
      <c r="D24" s="180"/>
      <c r="E24" s="214">
        <v>7500</v>
      </c>
      <c r="F24" s="29"/>
      <c r="G24" s="214">
        <v>6430.9</v>
      </c>
      <c r="H24" s="155"/>
      <c r="I24" s="214">
        <v>7500</v>
      </c>
    </row>
    <row r="25" spans="2:9" ht="14.25" customHeight="1">
      <c r="B25" s="2" t="s">
        <v>105</v>
      </c>
      <c r="C25" s="214">
        <v>355</v>
      </c>
      <c r="D25" s="180"/>
      <c r="E25" s="214">
        <v>400</v>
      </c>
      <c r="F25" s="29"/>
      <c r="G25" s="214">
        <v>0</v>
      </c>
      <c r="H25" s="155"/>
      <c r="I25" s="214">
        <v>400</v>
      </c>
    </row>
    <row r="26" spans="2:9" ht="14.25" customHeight="1">
      <c r="B26" s="2" t="s">
        <v>106</v>
      </c>
      <c r="C26" s="214">
        <v>2000</v>
      </c>
      <c r="D26" s="180"/>
      <c r="E26" s="214">
        <v>2000</v>
      </c>
      <c r="F26" s="29"/>
      <c r="G26" s="214">
        <v>2016</v>
      </c>
      <c r="H26" s="155"/>
      <c r="I26" s="214">
        <v>3000</v>
      </c>
    </row>
    <row r="27" spans="2:9" ht="14.25" customHeight="1">
      <c r="B27" s="2" t="s">
        <v>107</v>
      </c>
      <c r="C27" s="214">
        <v>134.11</v>
      </c>
      <c r="D27" s="180"/>
      <c r="E27" s="125">
        <v>1555</v>
      </c>
      <c r="F27" s="29"/>
      <c r="G27" s="214">
        <v>4887.33</v>
      </c>
      <c r="H27" s="155"/>
      <c r="I27" s="125">
        <v>15460</v>
      </c>
    </row>
    <row r="28" spans="2:9" ht="14.25" customHeight="1">
      <c r="B28" s="2" t="s">
        <v>108</v>
      </c>
      <c r="C28" s="214">
        <v>3170</v>
      </c>
      <c r="D28" s="180"/>
      <c r="E28" s="214">
        <v>3830</v>
      </c>
      <c r="F28" s="29"/>
      <c r="G28" s="214">
        <v>3858.8</v>
      </c>
      <c r="H28" s="155"/>
      <c r="I28" s="214">
        <v>3420</v>
      </c>
    </row>
    <row r="29" spans="2:9" ht="14.25" customHeight="1">
      <c r="B29" s="2" t="s">
        <v>109</v>
      </c>
      <c r="C29" s="214">
        <f>20379.51+2773.52+900.9</f>
        <v>24053.93</v>
      </c>
      <c r="D29" s="180"/>
      <c r="E29" s="214">
        <v>17500</v>
      </c>
      <c r="F29" s="29"/>
      <c r="G29" s="214">
        <f>1240.47+2970.37+926.04</f>
        <v>5136.88</v>
      </c>
      <c r="H29" s="155"/>
      <c r="I29" s="214">
        <v>12000</v>
      </c>
    </row>
    <row r="30" spans="2:9" ht="14.25" customHeight="1">
      <c r="B30" s="2" t="s">
        <v>110</v>
      </c>
      <c r="C30" s="214">
        <v>7131.2</v>
      </c>
      <c r="D30" s="180"/>
      <c r="E30" s="214">
        <v>7200</v>
      </c>
      <c r="F30" s="29"/>
      <c r="G30" s="214">
        <v>4322.92</v>
      </c>
      <c r="H30" s="155"/>
      <c r="I30" s="214">
        <v>7200</v>
      </c>
    </row>
    <row r="31" spans="2:9" ht="14.25" customHeight="1">
      <c r="B31" s="2" t="s">
        <v>111</v>
      </c>
      <c r="C31" s="214">
        <v>2000</v>
      </c>
      <c r="D31" s="180"/>
      <c r="E31" s="125">
        <v>2000</v>
      </c>
      <c r="F31" s="29"/>
      <c r="G31" s="214">
        <v>1500</v>
      </c>
      <c r="H31" s="155"/>
      <c r="I31" s="125">
        <v>2000</v>
      </c>
    </row>
    <row r="32" spans="2:9" ht="14.25" customHeight="1">
      <c r="B32" s="2" t="s">
        <v>112</v>
      </c>
      <c r="C32" s="214">
        <v>0</v>
      </c>
      <c r="D32" s="180"/>
      <c r="E32" s="125">
        <v>0</v>
      </c>
      <c r="F32" s="29"/>
      <c r="G32" s="214">
        <v>83</v>
      </c>
      <c r="H32" s="155"/>
      <c r="I32" s="125">
        <v>0</v>
      </c>
    </row>
    <row r="33" spans="2:9" ht="14.25" customHeight="1">
      <c r="B33" s="2" t="s">
        <v>113</v>
      </c>
      <c r="C33" s="214">
        <v>5000</v>
      </c>
      <c r="D33" s="180"/>
      <c r="E33" s="125">
        <v>6000</v>
      </c>
      <c r="F33" s="29"/>
      <c r="G33" s="214">
        <v>6028</v>
      </c>
      <c r="H33" s="155"/>
      <c r="I33" s="125">
        <v>5400</v>
      </c>
    </row>
    <row r="34" spans="2:9" ht="14.25" customHeight="1">
      <c r="B34" s="2" t="s">
        <v>114</v>
      </c>
      <c r="C34" s="214">
        <v>0</v>
      </c>
      <c r="D34" s="180"/>
      <c r="E34" s="125">
        <v>500</v>
      </c>
      <c r="F34" s="29"/>
      <c r="G34" s="214">
        <v>350</v>
      </c>
      <c r="H34" s="155"/>
      <c r="I34" s="125">
        <v>500</v>
      </c>
    </row>
    <row r="35" spans="2:9" ht="14.25" customHeight="1">
      <c r="B35" s="2" t="s">
        <v>115</v>
      </c>
      <c r="C35" s="214">
        <f>23078.91+4794.36</f>
        <v>27873.27</v>
      </c>
      <c r="D35" s="180"/>
      <c r="E35" s="214">
        <v>21000</v>
      </c>
      <c r="F35" s="29"/>
      <c r="G35" s="214">
        <f>319.82</f>
        <v>319.82</v>
      </c>
      <c r="H35" s="155"/>
      <c r="I35" s="214">
        <v>1150</v>
      </c>
    </row>
    <row r="36" spans="2:9" ht="14.25" customHeight="1">
      <c r="B36" s="2" t="s">
        <v>116</v>
      </c>
      <c r="C36" s="214">
        <v>0</v>
      </c>
      <c r="D36" s="180"/>
      <c r="E36" s="125">
        <v>1500</v>
      </c>
      <c r="F36" s="29"/>
      <c r="G36" s="214">
        <v>0</v>
      </c>
      <c r="H36" s="155"/>
      <c r="I36" s="125">
        <v>1500</v>
      </c>
    </row>
    <row r="37" spans="2:9" ht="14.25" customHeight="1">
      <c r="B37" s="2" t="s">
        <v>117</v>
      </c>
      <c r="C37" s="214">
        <v>0</v>
      </c>
      <c r="D37" s="180"/>
      <c r="E37" s="125">
        <v>400</v>
      </c>
      <c r="F37" s="29"/>
      <c r="G37" s="214">
        <v>0</v>
      </c>
      <c r="H37" s="155"/>
      <c r="I37" s="125">
        <v>400</v>
      </c>
    </row>
    <row r="38" spans="2:9" ht="14.25" customHeight="1">
      <c r="B38" s="2" t="s">
        <v>174</v>
      </c>
      <c r="C38" s="214">
        <v>6195.72</v>
      </c>
      <c r="D38" s="180"/>
      <c r="E38" s="214">
        <v>9838</v>
      </c>
      <c r="F38" s="29"/>
      <c r="G38" s="214">
        <v>4127.01</v>
      </c>
      <c r="H38" s="155"/>
      <c r="I38" s="214">
        <v>9900</v>
      </c>
    </row>
    <row r="39" spans="2:9" ht="14.25" customHeight="1">
      <c r="B39" s="2" t="s">
        <v>175</v>
      </c>
      <c r="C39" s="214">
        <v>0</v>
      </c>
      <c r="D39" s="180"/>
      <c r="E39" s="243">
        <v>900</v>
      </c>
      <c r="F39" s="29"/>
      <c r="G39" s="214">
        <v>0</v>
      </c>
      <c r="H39" s="155"/>
      <c r="I39" s="243">
        <v>900</v>
      </c>
    </row>
    <row r="40" spans="2:9" ht="14.25" customHeight="1">
      <c r="B40" s="2" t="s">
        <v>176</v>
      </c>
      <c r="C40" s="214">
        <v>900</v>
      </c>
      <c r="D40" s="180"/>
      <c r="E40" s="243">
        <v>900</v>
      </c>
      <c r="F40" s="29"/>
      <c r="G40" s="214">
        <v>900</v>
      </c>
      <c r="H40" s="155"/>
      <c r="I40" s="243">
        <v>900</v>
      </c>
    </row>
    <row r="41" spans="2:9" ht="14.25" customHeight="1">
      <c r="B41" s="2" t="s">
        <v>177</v>
      </c>
      <c r="C41" s="214">
        <v>900</v>
      </c>
      <c r="D41" s="180"/>
      <c r="E41" s="243">
        <v>900</v>
      </c>
      <c r="F41" s="29"/>
      <c r="G41" s="214">
        <v>900</v>
      </c>
      <c r="H41" s="155"/>
      <c r="I41" s="243">
        <v>900</v>
      </c>
    </row>
    <row r="42" spans="2:9" ht="14.25" customHeight="1">
      <c r="B42" s="2" t="s">
        <v>178</v>
      </c>
      <c r="C42" s="214">
        <v>900</v>
      </c>
      <c r="D42" s="180"/>
      <c r="E42" s="243">
        <v>900</v>
      </c>
      <c r="F42" s="29"/>
      <c r="G42" s="214">
        <v>900</v>
      </c>
      <c r="H42" s="155"/>
      <c r="I42" s="243">
        <v>900</v>
      </c>
    </row>
    <row r="43" spans="2:9" ht="14.25" customHeight="1">
      <c r="B43" s="2" t="s">
        <v>179</v>
      </c>
      <c r="C43" s="214">
        <v>900</v>
      </c>
      <c r="D43" s="180"/>
      <c r="E43" s="243">
        <v>900</v>
      </c>
      <c r="F43" s="29"/>
      <c r="G43" s="214">
        <v>900</v>
      </c>
      <c r="H43" s="155"/>
      <c r="I43" s="243">
        <v>900</v>
      </c>
    </row>
    <row r="44" spans="2:9" ht="14.25" customHeight="1">
      <c r="B44" s="2" t="s">
        <v>180</v>
      </c>
      <c r="C44" s="214">
        <f>26252.41+47053.69+13969.79</f>
        <v>87275.89000000001</v>
      </c>
      <c r="D44" s="180"/>
      <c r="E44" s="125">
        <v>106000</v>
      </c>
      <c r="F44" s="29"/>
      <c r="G44" s="214">
        <f>24431.96+48229.42+15835.05</f>
        <v>88496.43000000001</v>
      </c>
      <c r="H44" s="155"/>
      <c r="I44" s="125">
        <v>109000</v>
      </c>
    </row>
    <row r="45" spans="2:9" ht="14.25" customHeight="1">
      <c r="B45" s="6" t="s">
        <v>181</v>
      </c>
      <c r="C45" s="214">
        <f>35784.4+11084.93</f>
        <v>46869.33</v>
      </c>
      <c r="D45" s="184"/>
      <c r="E45" s="214">
        <v>88500</v>
      </c>
      <c r="F45" s="32"/>
      <c r="G45" s="214">
        <f>153.71+39113.12+12598.92+60173.49</f>
        <v>112039.23999999999</v>
      </c>
      <c r="H45" s="155"/>
      <c r="I45" s="214">
        <v>53000</v>
      </c>
    </row>
    <row r="46" spans="2:9" ht="14.25" customHeight="1">
      <c r="B46" s="6" t="s">
        <v>182</v>
      </c>
      <c r="C46" s="214">
        <v>0</v>
      </c>
      <c r="D46" s="184"/>
      <c r="E46" s="214">
        <v>45000</v>
      </c>
      <c r="F46" s="32"/>
      <c r="G46" s="214">
        <v>55339.15</v>
      </c>
      <c r="H46" s="155"/>
      <c r="I46" s="214">
        <v>0</v>
      </c>
    </row>
    <row r="47" spans="2:9" ht="14.25" customHeight="1">
      <c r="B47" s="6" t="s">
        <v>183</v>
      </c>
      <c r="C47" s="214">
        <f>25248.81+7293.22+2407.5</f>
        <v>34949.53</v>
      </c>
      <c r="D47" s="184"/>
      <c r="E47" s="125">
        <v>2000</v>
      </c>
      <c r="F47" s="32"/>
      <c r="G47" s="214">
        <f>2859.45+930.64</f>
        <v>3790.0899999999997</v>
      </c>
      <c r="H47" s="155"/>
      <c r="I47" s="125">
        <v>17850</v>
      </c>
    </row>
    <row r="48" spans="2:9" ht="14.25" customHeight="1">
      <c r="B48" s="6" t="s">
        <v>184</v>
      </c>
      <c r="C48" s="214">
        <f>8368.58+6000+28411.79</f>
        <v>42780.37</v>
      </c>
      <c r="D48" s="184"/>
      <c r="E48" s="214">
        <v>10000</v>
      </c>
      <c r="F48" s="32"/>
      <c r="G48" s="214">
        <f>3426.5+2327.95</f>
        <v>5754.45</v>
      </c>
      <c r="H48" s="155"/>
      <c r="I48" s="214">
        <v>10000</v>
      </c>
    </row>
    <row r="49" spans="2:9" ht="14.25" customHeight="1">
      <c r="B49" s="2" t="s">
        <v>185</v>
      </c>
      <c r="C49" s="216">
        <v>16750.56</v>
      </c>
      <c r="D49" s="180"/>
      <c r="E49" s="216">
        <f>10000+7650</f>
        <v>17650</v>
      </c>
      <c r="F49" s="29"/>
      <c r="G49" s="216">
        <v>39482.56</v>
      </c>
      <c r="H49" s="155"/>
      <c r="I49" s="216">
        <v>18000</v>
      </c>
    </row>
    <row r="50" spans="2:9" ht="14.25" customHeight="1">
      <c r="B50" s="2" t="s">
        <v>186</v>
      </c>
      <c r="C50" s="217">
        <f>34922.94+32928.35+6741.94</f>
        <v>74593.23000000001</v>
      </c>
      <c r="D50" s="180"/>
      <c r="E50" s="217">
        <v>59100</v>
      </c>
      <c r="F50" s="29"/>
      <c r="G50" s="217">
        <f>40334.2+31538.97+9434.15</f>
        <v>81307.31999999999</v>
      </c>
      <c r="H50" s="155"/>
      <c r="I50" s="217">
        <v>93500</v>
      </c>
    </row>
    <row r="51" spans="2:9" ht="14.25" customHeight="1" thickBot="1">
      <c r="B51" s="6" t="s">
        <v>187</v>
      </c>
      <c r="C51" s="226">
        <f>392.1-13</f>
        <v>379.1</v>
      </c>
      <c r="D51" s="184"/>
      <c r="E51" s="126">
        <v>6000</v>
      </c>
      <c r="F51" s="32"/>
      <c r="G51" s="226">
        <v>637.5</v>
      </c>
      <c r="H51" s="155"/>
      <c r="I51" s="126">
        <v>6000</v>
      </c>
    </row>
    <row r="52" spans="2:9" s="75" customFormat="1" ht="16.5" customHeight="1" thickBot="1">
      <c r="B52" s="81" t="s">
        <v>2</v>
      </c>
      <c r="C52" s="95">
        <f>SUM(C53:C62)</f>
        <v>147175.1</v>
      </c>
      <c r="D52" s="182"/>
      <c r="E52" s="95">
        <f>SUM(E53:E62)</f>
        <v>156136</v>
      </c>
      <c r="F52" s="158"/>
      <c r="G52" s="95">
        <f>SUM(G53:G62)</f>
        <v>150431.78000000003</v>
      </c>
      <c r="H52" s="153"/>
      <c r="I52" s="95">
        <f>SUM(I53:I62)</f>
        <v>173136</v>
      </c>
    </row>
    <row r="53" spans="2:9" ht="14.25" customHeight="1">
      <c r="B53" s="2" t="s">
        <v>89</v>
      </c>
      <c r="C53" s="219">
        <v>852.26</v>
      </c>
      <c r="D53" s="180"/>
      <c r="E53" s="115">
        <v>1000</v>
      </c>
      <c r="F53" s="29"/>
      <c r="G53" s="219">
        <v>704.09</v>
      </c>
      <c r="H53" s="154"/>
      <c r="I53" s="115">
        <v>1000</v>
      </c>
    </row>
    <row r="54" spans="2:9" ht="14.25" customHeight="1">
      <c r="B54" s="2" t="s">
        <v>90</v>
      </c>
      <c r="C54" s="219">
        <v>698.71</v>
      </c>
      <c r="D54" s="180"/>
      <c r="E54" s="115">
        <v>1000</v>
      </c>
      <c r="F54" s="29"/>
      <c r="G54" s="219">
        <v>249.5</v>
      </c>
      <c r="H54" s="154"/>
      <c r="I54" s="115">
        <v>1000</v>
      </c>
    </row>
    <row r="55" spans="2:9" ht="14.25" customHeight="1">
      <c r="B55" s="2" t="s">
        <v>99</v>
      </c>
      <c r="C55" s="219">
        <v>384.9</v>
      </c>
      <c r="D55" s="180"/>
      <c r="E55" s="115">
        <v>1000</v>
      </c>
      <c r="F55" s="29"/>
      <c r="G55" s="219">
        <v>525.82</v>
      </c>
      <c r="H55" s="154"/>
      <c r="I55" s="115">
        <v>1000</v>
      </c>
    </row>
    <row r="56" spans="2:9" ht="14.25" customHeight="1">
      <c r="B56" s="2" t="s">
        <v>91</v>
      </c>
      <c r="C56" s="215">
        <v>0</v>
      </c>
      <c r="D56" s="180"/>
      <c r="E56" s="118">
        <v>1000</v>
      </c>
      <c r="F56" s="29"/>
      <c r="G56" s="215">
        <v>0</v>
      </c>
      <c r="H56" s="154"/>
      <c r="I56" s="118">
        <v>1000</v>
      </c>
    </row>
    <row r="57" spans="2:9" ht="14.25" customHeight="1">
      <c r="B57" s="2" t="s">
        <v>92</v>
      </c>
      <c r="C57" s="215">
        <v>92407.67</v>
      </c>
      <c r="D57" s="180"/>
      <c r="E57" s="215">
        <v>90500</v>
      </c>
      <c r="F57" s="29"/>
      <c r="G57" s="215">
        <v>89202.13</v>
      </c>
      <c r="H57" s="154"/>
      <c r="I57" s="215">
        <v>105000</v>
      </c>
    </row>
    <row r="58" spans="2:9" ht="14.25" customHeight="1">
      <c r="B58" s="6" t="s">
        <v>93</v>
      </c>
      <c r="C58" s="215">
        <v>21636</v>
      </c>
      <c r="D58" s="184"/>
      <c r="E58" s="215">
        <v>21636</v>
      </c>
      <c r="F58" s="32"/>
      <c r="G58" s="215">
        <v>21756.88</v>
      </c>
      <c r="H58" s="154"/>
      <c r="I58" s="215">
        <v>21636</v>
      </c>
    </row>
    <row r="59" spans="2:9" ht="14.25" customHeight="1">
      <c r="B59" s="2" t="s">
        <v>94</v>
      </c>
      <c r="C59" s="215">
        <f>3696.56+20009</f>
        <v>23705.56</v>
      </c>
      <c r="D59" s="180"/>
      <c r="E59" s="118">
        <v>25500</v>
      </c>
      <c r="F59" s="29"/>
      <c r="G59" s="215">
        <f>2543.93+27522.18</f>
        <v>30066.11</v>
      </c>
      <c r="H59" s="154"/>
      <c r="I59" s="118">
        <v>32000</v>
      </c>
    </row>
    <row r="60" spans="2:9" ht="14.25" customHeight="1">
      <c r="B60" s="2" t="s">
        <v>166</v>
      </c>
      <c r="C60" s="220">
        <v>7490</v>
      </c>
      <c r="D60" s="180"/>
      <c r="E60" s="123">
        <v>13000</v>
      </c>
      <c r="F60" s="29"/>
      <c r="G60" s="220">
        <v>7808.99</v>
      </c>
      <c r="H60" s="154"/>
      <c r="I60" s="123">
        <v>9000</v>
      </c>
    </row>
    <row r="61" spans="2:9" ht="14.25" customHeight="1">
      <c r="B61" s="2" t="s">
        <v>167</v>
      </c>
      <c r="C61" s="220">
        <v>0</v>
      </c>
      <c r="D61" s="180"/>
      <c r="E61" s="123">
        <v>1000</v>
      </c>
      <c r="F61" s="29"/>
      <c r="G61" s="220">
        <v>118.26</v>
      </c>
      <c r="H61" s="154"/>
      <c r="I61" s="123">
        <v>1000</v>
      </c>
    </row>
    <row r="62" spans="2:9" ht="14.25" customHeight="1" thickBot="1">
      <c r="B62" s="7" t="s">
        <v>168</v>
      </c>
      <c r="C62" s="222">
        <v>0</v>
      </c>
      <c r="D62" s="180"/>
      <c r="E62" s="121">
        <v>500</v>
      </c>
      <c r="F62" s="29"/>
      <c r="G62" s="222">
        <v>0</v>
      </c>
      <c r="H62" s="154"/>
      <c r="I62" s="121">
        <v>500</v>
      </c>
    </row>
    <row r="63" spans="2:9" s="75" customFormat="1" ht="16.5" customHeight="1" thickBot="1">
      <c r="B63" s="81" t="s">
        <v>3</v>
      </c>
      <c r="C63" s="95">
        <f>SUM(C64:C68)</f>
        <v>39691.45</v>
      </c>
      <c r="D63" s="182"/>
      <c r="E63" s="95">
        <f>SUM(E64:E68)</f>
        <v>42500</v>
      </c>
      <c r="F63" s="158"/>
      <c r="G63" s="95">
        <f>SUM(G64:G68)</f>
        <v>125286.91</v>
      </c>
      <c r="H63" s="153"/>
      <c r="I63" s="95">
        <f>SUM(I64:I68)</f>
        <v>132820</v>
      </c>
    </row>
    <row r="64" spans="2:9" ht="14.25" customHeight="1">
      <c r="B64" s="2" t="s">
        <v>141</v>
      </c>
      <c r="C64" s="216">
        <v>18000</v>
      </c>
      <c r="D64" s="180"/>
      <c r="E64" s="215">
        <v>18500</v>
      </c>
      <c r="F64" s="29"/>
      <c r="G64" s="216">
        <v>18500</v>
      </c>
      <c r="H64" s="154"/>
      <c r="I64" s="215">
        <v>19000</v>
      </c>
    </row>
    <row r="65" spans="2:9" ht="14.25" customHeight="1">
      <c r="B65" s="7" t="s">
        <v>142</v>
      </c>
      <c r="C65" s="217">
        <v>1191.45</v>
      </c>
      <c r="D65" s="180"/>
      <c r="E65" s="220">
        <v>2500</v>
      </c>
      <c r="F65" s="29"/>
      <c r="G65" s="217">
        <v>1307.91</v>
      </c>
      <c r="H65" s="154"/>
      <c r="I65" s="220">
        <v>1500</v>
      </c>
    </row>
    <row r="66" spans="2:9" ht="14.25" customHeight="1">
      <c r="B66" s="2" t="s">
        <v>143</v>
      </c>
      <c r="C66" s="216">
        <v>6500</v>
      </c>
      <c r="D66" s="180"/>
      <c r="E66" s="215">
        <v>7000</v>
      </c>
      <c r="F66" s="29"/>
      <c r="G66" s="216">
        <v>7000</v>
      </c>
      <c r="H66" s="154"/>
      <c r="I66" s="215">
        <v>7500</v>
      </c>
    </row>
    <row r="67" spans="2:9" ht="14.25" customHeight="1">
      <c r="B67" s="206" t="s">
        <v>220</v>
      </c>
      <c r="C67" s="217">
        <v>14000</v>
      </c>
      <c r="D67" s="180"/>
      <c r="E67" s="220">
        <v>14500</v>
      </c>
      <c r="F67" s="29"/>
      <c r="G67" s="217">
        <v>14500</v>
      </c>
      <c r="H67" s="154"/>
      <c r="I67" s="220">
        <v>15000</v>
      </c>
    </row>
    <row r="68" spans="2:9" ht="14.25" customHeight="1" thickBot="1">
      <c r="B68" s="28" t="s">
        <v>207</v>
      </c>
      <c r="C68" s="226">
        <v>0</v>
      </c>
      <c r="D68" s="180"/>
      <c r="E68" s="222">
        <v>0</v>
      </c>
      <c r="F68" s="29"/>
      <c r="G68" s="226">
        <v>83979</v>
      </c>
      <c r="H68" s="154"/>
      <c r="I68" s="222">
        <v>89820</v>
      </c>
    </row>
    <row r="69" spans="2:9" s="75" customFormat="1" ht="16.5" customHeight="1" thickBot="1">
      <c r="B69" s="81" t="s">
        <v>4</v>
      </c>
      <c r="C69" s="95">
        <f>SUM(C70:C84)</f>
        <v>836383.5000000001</v>
      </c>
      <c r="D69" s="182"/>
      <c r="E69" s="95">
        <f>SUM(E70:E84)</f>
        <v>1235825</v>
      </c>
      <c r="F69" s="158"/>
      <c r="G69" s="95">
        <f>SUM(G70:G84)</f>
        <v>1328827.1300000001</v>
      </c>
      <c r="H69" s="153"/>
      <c r="I69" s="95">
        <f>SUM(I70:I84)</f>
        <v>1431218</v>
      </c>
    </row>
    <row r="70" spans="2:9" ht="14.25" customHeight="1">
      <c r="B70" s="2" t="s">
        <v>59</v>
      </c>
      <c r="C70" s="218">
        <v>20236.91</v>
      </c>
      <c r="D70" s="180"/>
      <c r="E70" s="213">
        <v>25000</v>
      </c>
      <c r="F70" s="29"/>
      <c r="G70" s="218">
        <v>18241.86</v>
      </c>
      <c r="H70" s="154"/>
      <c r="I70" s="213">
        <v>20000</v>
      </c>
    </row>
    <row r="71" spans="2:9" ht="14.25" customHeight="1">
      <c r="B71" s="2" t="s">
        <v>127</v>
      </c>
      <c r="C71" s="216">
        <f>654.88+16+1765.56+50+22767.62</f>
        <v>25254.059999999998</v>
      </c>
      <c r="D71" s="180"/>
      <c r="E71" s="215">
        <v>30000</v>
      </c>
      <c r="F71" s="29"/>
      <c r="G71" s="216">
        <f>4716.93+183.53+840.52+9481.96+377.9+3331.7+6672.98</f>
        <v>25605.519999999997</v>
      </c>
      <c r="H71" s="154"/>
      <c r="I71" s="215">
        <f>27000-904+22</f>
        <v>26118</v>
      </c>
    </row>
    <row r="72" spans="2:9" ht="14.25" customHeight="1">
      <c r="B72" s="3" t="s">
        <v>128</v>
      </c>
      <c r="C72" s="216">
        <v>96393.74</v>
      </c>
      <c r="D72" s="185"/>
      <c r="E72" s="215">
        <v>90000</v>
      </c>
      <c r="F72" s="160"/>
      <c r="G72" s="216">
        <v>21049</v>
      </c>
      <c r="H72" s="154"/>
      <c r="I72" s="215">
        <v>50000</v>
      </c>
    </row>
    <row r="73" spans="2:9" ht="14.25" customHeight="1">
      <c r="B73" s="3" t="s">
        <v>129</v>
      </c>
      <c r="C73" s="216">
        <v>1910.16</v>
      </c>
      <c r="D73" s="185"/>
      <c r="E73" s="118">
        <v>2000</v>
      </c>
      <c r="F73" s="160"/>
      <c r="G73" s="216">
        <v>1585.36</v>
      </c>
      <c r="H73" s="154"/>
      <c r="I73" s="118">
        <v>2000</v>
      </c>
    </row>
    <row r="74" spans="2:9" ht="14.25" customHeight="1">
      <c r="B74" s="3" t="s">
        <v>130</v>
      </c>
      <c r="C74" s="216">
        <v>190.49</v>
      </c>
      <c r="D74" s="185"/>
      <c r="E74" s="118">
        <v>500</v>
      </c>
      <c r="F74" s="160"/>
      <c r="G74" s="216">
        <v>100.2</v>
      </c>
      <c r="H74" s="154"/>
      <c r="I74" s="118">
        <v>500</v>
      </c>
    </row>
    <row r="75" spans="2:9" ht="14.25" customHeight="1">
      <c r="B75" s="27" t="s">
        <v>131</v>
      </c>
      <c r="C75" s="216">
        <f>165643.35+113717.05+35957.19</f>
        <v>315317.59</v>
      </c>
      <c r="D75" s="181"/>
      <c r="E75" s="215">
        <v>396125</v>
      </c>
      <c r="F75" s="29"/>
      <c r="G75" s="216">
        <f>237483.01+127279.81+36637.65</f>
        <v>401400.47000000003</v>
      </c>
      <c r="H75" s="154"/>
      <c r="I75" s="215">
        <v>434500</v>
      </c>
    </row>
    <row r="76" spans="2:9" ht="14.25" customHeight="1">
      <c r="B76" s="7" t="s">
        <v>138</v>
      </c>
      <c r="C76" s="216">
        <v>16496.77</v>
      </c>
      <c r="D76" s="180"/>
      <c r="E76" s="118">
        <v>6000</v>
      </c>
      <c r="F76" s="29"/>
      <c r="G76" s="216">
        <v>10295.37</v>
      </c>
      <c r="H76" s="154"/>
      <c r="I76" s="118">
        <v>6000</v>
      </c>
    </row>
    <row r="77" spans="2:9" ht="14.25" customHeight="1">
      <c r="B77" s="2" t="s">
        <v>132</v>
      </c>
      <c r="C77" s="216">
        <f>160232.49+30197.16+9463.58</f>
        <v>199893.22999999998</v>
      </c>
      <c r="D77" s="180"/>
      <c r="E77" s="215">
        <v>307000</v>
      </c>
      <c r="F77" s="29"/>
      <c r="G77" s="216">
        <f>134662.95+32640.52+10525.97+799.73+22647.56+255.09+7547.51+426.03+6900.21+206718.74</f>
        <v>423124.31</v>
      </c>
      <c r="H77" s="154"/>
      <c r="I77" s="215">
        <v>468500</v>
      </c>
    </row>
    <row r="78" spans="2:9" ht="14.25" customHeight="1">
      <c r="B78" s="27" t="s">
        <v>133</v>
      </c>
      <c r="C78" s="216">
        <f>6725.35+23717.45+7557.48</f>
        <v>38000.28</v>
      </c>
      <c r="D78" s="180"/>
      <c r="E78" s="215">
        <v>39000</v>
      </c>
      <c r="F78" s="29"/>
      <c r="G78" s="216">
        <f>5311.06+25532.3+16784.35</f>
        <v>47627.71</v>
      </c>
      <c r="H78" s="154"/>
      <c r="I78" s="215">
        <v>49000</v>
      </c>
    </row>
    <row r="79" spans="2:9" ht="14.25" customHeight="1">
      <c r="B79" s="7" t="s">
        <v>134</v>
      </c>
      <c r="C79" s="216">
        <f>7098.13+13971.66+4255.09</f>
        <v>25324.88</v>
      </c>
      <c r="D79" s="180"/>
      <c r="E79" s="215">
        <v>26000</v>
      </c>
      <c r="F79" s="29"/>
      <c r="G79" s="216">
        <f>4793.52+15813.87+14942.66</f>
        <v>35550.05</v>
      </c>
      <c r="H79" s="154"/>
      <c r="I79" s="215">
        <v>38000</v>
      </c>
    </row>
    <row r="80" spans="2:9" ht="14.25" customHeight="1">
      <c r="B80" s="40" t="s">
        <v>149</v>
      </c>
      <c r="C80" s="216">
        <f>23812.26+51602.26+10494.89</f>
        <v>85909.41</v>
      </c>
      <c r="D80" s="173"/>
      <c r="E80" s="118">
        <v>93200</v>
      </c>
      <c r="F80" s="138"/>
      <c r="G80" s="216">
        <f>26154.58+52867.98+14211.3</f>
        <v>93233.86</v>
      </c>
      <c r="H80" s="154"/>
      <c r="I80" s="118">
        <v>72000</v>
      </c>
    </row>
    <row r="81" spans="2:9" ht="14.25" customHeight="1">
      <c r="B81" s="205" t="s">
        <v>150</v>
      </c>
      <c r="C81" s="217">
        <v>2299.28</v>
      </c>
      <c r="D81" s="186"/>
      <c r="E81" s="149">
        <v>2400</v>
      </c>
      <c r="F81" s="138"/>
      <c r="G81" s="217">
        <v>1174</v>
      </c>
      <c r="H81" s="156"/>
      <c r="I81" s="149">
        <v>2100</v>
      </c>
    </row>
    <row r="82" spans="2:9" ht="14.25" customHeight="1">
      <c r="B82" s="205" t="s">
        <v>171</v>
      </c>
      <c r="C82" s="217">
        <v>0</v>
      </c>
      <c r="D82" s="186"/>
      <c r="E82" s="149">
        <v>206000</v>
      </c>
      <c r="F82" s="138"/>
      <c r="G82" s="217">
        <f>238569+2211.01</f>
        <v>240780.01</v>
      </c>
      <c r="H82" s="156"/>
      <c r="I82" s="149">
        <v>250000</v>
      </c>
    </row>
    <row r="83" spans="2:9" ht="14.25" customHeight="1">
      <c r="B83" s="205" t="s">
        <v>172</v>
      </c>
      <c r="C83" s="217">
        <v>9156.7</v>
      </c>
      <c r="D83" s="186"/>
      <c r="E83" s="149">
        <v>12000</v>
      </c>
      <c r="F83" s="138"/>
      <c r="G83" s="217">
        <f>9206.08-206.08</f>
        <v>9000</v>
      </c>
      <c r="H83" s="156"/>
      <c r="I83" s="149">
        <v>12000</v>
      </c>
    </row>
    <row r="84" spans="2:9" ht="14.25" customHeight="1" thickBot="1">
      <c r="B84" s="205" t="s">
        <v>190</v>
      </c>
      <c r="C84" s="226">
        <v>0</v>
      </c>
      <c r="D84" s="186"/>
      <c r="E84" s="221">
        <v>600</v>
      </c>
      <c r="F84" s="138"/>
      <c r="G84" s="226">
        <v>59.41</v>
      </c>
      <c r="H84" s="156"/>
      <c r="I84" s="221">
        <v>500</v>
      </c>
    </row>
    <row r="85" spans="2:9" s="74" customFormat="1" ht="18" customHeight="1" thickBot="1">
      <c r="B85" s="13"/>
      <c r="C85" s="16"/>
      <c r="D85" s="29"/>
      <c r="E85" s="16"/>
      <c r="F85" s="29"/>
      <c r="G85" s="16"/>
      <c r="H85" s="16"/>
      <c r="I85" s="16"/>
    </row>
    <row r="86" spans="2:9" s="74" customFormat="1" ht="32.25" thickBot="1">
      <c r="B86" s="104" t="s">
        <v>5</v>
      </c>
      <c r="C86" s="94">
        <f>SUM(C88:C94)</f>
        <v>1901088.0199999998</v>
      </c>
      <c r="D86" s="187"/>
      <c r="E86" s="94">
        <f>SUM(E88:E94)</f>
        <v>2065000</v>
      </c>
      <c r="F86" s="161"/>
      <c r="G86" s="94">
        <f>SUM(G88:G94)</f>
        <v>2067346.5899999996</v>
      </c>
      <c r="H86" s="152"/>
      <c r="I86" s="94">
        <f>SUM(I88:I94)</f>
        <v>2193000</v>
      </c>
    </row>
    <row r="87" spans="2:9" s="74" customFormat="1" ht="9" customHeight="1" thickBot="1">
      <c r="B87" s="14"/>
      <c r="C87" s="16"/>
      <c r="D87" s="29"/>
      <c r="E87" s="16"/>
      <c r="F87" s="29"/>
      <c r="G87" s="16"/>
      <c r="H87" s="16"/>
      <c r="I87" s="16"/>
    </row>
    <row r="88" spans="2:9" ht="14.25">
      <c r="B88" s="26" t="s">
        <v>60</v>
      </c>
      <c r="C88" s="218">
        <v>1008330.99</v>
      </c>
      <c r="D88" s="181"/>
      <c r="E88" s="213">
        <v>1063700</v>
      </c>
      <c r="F88" s="29"/>
      <c r="G88" s="218">
        <v>1089899.88</v>
      </c>
      <c r="H88" s="154"/>
      <c r="I88" s="213">
        <v>1180000</v>
      </c>
    </row>
    <row r="89" spans="2:9" ht="12.75" customHeight="1">
      <c r="B89" s="27" t="s">
        <v>61</v>
      </c>
      <c r="C89" s="216">
        <f>118409.79+163093.31</f>
        <v>281503.1</v>
      </c>
      <c r="D89" s="181"/>
      <c r="E89" s="215">
        <v>314000</v>
      </c>
      <c r="F89" s="29"/>
      <c r="G89" s="216">
        <f>169589.22+115304.68+5680.81</f>
        <v>290574.71</v>
      </c>
      <c r="H89" s="154"/>
      <c r="I89" s="215">
        <v>300000</v>
      </c>
    </row>
    <row r="90" spans="2:9" s="75" customFormat="1" ht="13.5" customHeight="1">
      <c r="B90" s="40" t="s">
        <v>62</v>
      </c>
      <c r="C90" s="216">
        <v>179807</v>
      </c>
      <c r="D90" s="173"/>
      <c r="E90" s="216">
        <v>196350</v>
      </c>
      <c r="F90" s="138"/>
      <c r="G90" s="216">
        <v>211478</v>
      </c>
      <c r="H90" s="155"/>
      <c r="I90" s="216">
        <v>200000</v>
      </c>
    </row>
    <row r="91" spans="2:9" ht="14.25">
      <c r="B91" s="27" t="s">
        <v>144</v>
      </c>
      <c r="C91" s="216">
        <v>196717.13</v>
      </c>
      <c r="D91" s="181"/>
      <c r="E91" s="215">
        <v>233500</v>
      </c>
      <c r="F91" s="29"/>
      <c r="G91" s="216">
        <v>227026.76</v>
      </c>
      <c r="H91" s="154"/>
      <c r="I91" s="215">
        <v>261000</v>
      </c>
    </row>
    <row r="92" spans="2:9" ht="14.25">
      <c r="B92" s="27" t="s">
        <v>145</v>
      </c>
      <c r="C92" s="216">
        <v>29241.74</v>
      </c>
      <c r="D92" s="181"/>
      <c r="E92" s="215">
        <v>32500</v>
      </c>
      <c r="F92" s="29"/>
      <c r="G92" s="216">
        <f>32016.6+1951.56</f>
        <v>33968.159999999996</v>
      </c>
      <c r="H92" s="154"/>
      <c r="I92" s="215">
        <v>35000</v>
      </c>
    </row>
    <row r="93" spans="2:9" ht="14.25">
      <c r="B93" s="206" t="s">
        <v>146</v>
      </c>
      <c r="C93" s="217">
        <v>165215.24</v>
      </c>
      <c r="D93" s="181"/>
      <c r="E93" s="220">
        <v>179950</v>
      </c>
      <c r="F93" s="29"/>
      <c r="G93" s="217">
        <v>196233.18</v>
      </c>
      <c r="H93" s="154"/>
      <c r="I93" s="220">
        <v>198000</v>
      </c>
    </row>
    <row r="94" spans="2:9" ht="15" thickBot="1">
      <c r="B94" s="28" t="s">
        <v>147</v>
      </c>
      <c r="C94" s="226">
        <v>40272.82</v>
      </c>
      <c r="D94" s="181"/>
      <c r="E94" s="222">
        <v>45000</v>
      </c>
      <c r="F94" s="29"/>
      <c r="G94" s="226">
        <v>18165.9</v>
      </c>
      <c r="H94" s="154"/>
      <c r="I94" s="222">
        <v>19000</v>
      </c>
    </row>
    <row r="95" spans="2:9" s="74" customFormat="1" ht="15" customHeight="1" thickBot="1">
      <c r="B95" s="13"/>
      <c r="C95" s="16"/>
      <c r="D95" s="29"/>
      <c r="E95" s="16"/>
      <c r="F95" s="29"/>
      <c r="G95" s="16"/>
      <c r="H95" s="16"/>
      <c r="I95" s="16"/>
    </row>
    <row r="96" spans="2:9" s="75" customFormat="1" ht="21" customHeight="1" thickBot="1">
      <c r="B96" s="82" t="s">
        <v>53</v>
      </c>
      <c r="C96" s="94">
        <f>SUM(C98:C99)</f>
        <v>406627.43</v>
      </c>
      <c r="D96" s="188"/>
      <c r="E96" s="94">
        <f>SUM(E98:E99)</f>
        <v>504800</v>
      </c>
      <c r="F96" s="162"/>
      <c r="G96" s="94">
        <f>SUM(G98:G99)</f>
        <v>497024.33999999997</v>
      </c>
      <c r="H96" s="152"/>
      <c r="I96" s="94">
        <f>SUM(I98:I99)</f>
        <v>579000</v>
      </c>
    </row>
    <row r="97" spans="2:9" s="74" customFormat="1" ht="9" customHeight="1" thickBot="1">
      <c r="B97" s="29"/>
      <c r="C97" s="16"/>
      <c r="D97" s="29"/>
      <c r="E97" s="16"/>
      <c r="F97" s="29"/>
      <c r="G97" s="16"/>
      <c r="H97" s="16"/>
      <c r="I97" s="16"/>
    </row>
    <row r="98" spans="2:9" ht="14.25">
      <c r="B98" s="26" t="s">
        <v>63</v>
      </c>
      <c r="C98" s="218">
        <f>14000+305836.87</f>
        <v>319836.87</v>
      </c>
      <c r="D98" s="181"/>
      <c r="E98" s="213">
        <v>412415</v>
      </c>
      <c r="F98" s="29"/>
      <c r="G98" s="218">
        <f>17226.91+371823.66</f>
        <v>389050.56999999995</v>
      </c>
      <c r="H98" s="154"/>
      <c r="I98" s="213">
        <v>456000</v>
      </c>
    </row>
    <row r="99" spans="2:9" ht="15" thickBot="1">
      <c r="B99" s="27" t="s">
        <v>64</v>
      </c>
      <c r="C99" s="226">
        <f>4418.12+82372.44</f>
        <v>86790.56</v>
      </c>
      <c r="D99" s="181"/>
      <c r="E99" s="222">
        <v>92385</v>
      </c>
      <c r="F99" s="29"/>
      <c r="G99" s="226">
        <f>5494.54+102479.23</f>
        <v>107973.76999999999</v>
      </c>
      <c r="H99" s="154"/>
      <c r="I99" s="222">
        <v>123000</v>
      </c>
    </row>
    <row r="100" spans="2:9" ht="12.75" customHeight="1" thickBot="1">
      <c r="B100" s="13"/>
      <c r="C100" s="96"/>
      <c r="D100" s="29"/>
      <c r="E100" s="16"/>
      <c r="F100" s="29"/>
      <c r="G100" s="96"/>
      <c r="H100" s="16"/>
      <c r="I100" s="16"/>
    </row>
    <row r="101" spans="2:9" s="76" customFormat="1" ht="21" customHeight="1" thickBot="1">
      <c r="B101" s="83" t="s">
        <v>6</v>
      </c>
      <c r="C101" s="94">
        <f>SUM(C103:C106)</f>
        <v>227087.34000000003</v>
      </c>
      <c r="D101" s="188"/>
      <c r="E101" s="94">
        <f>SUM(E103:E106)</f>
        <v>112600</v>
      </c>
      <c r="F101" s="162"/>
      <c r="G101" s="94">
        <f>SUM(G103:G106)</f>
        <v>101362.66</v>
      </c>
      <c r="H101" s="152"/>
      <c r="I101" s="94">
        <f>SUM(I103:I106)</f>
        <v>105800</v>
      </c>
    </row>
    <row r="102" spans="1:9" ht="9" customHeight="1" thickBot="1">
      <c r="A102" s="74"/>
      <c r="B102" s="29"/>
      <c r="C102" s="16"/>
      <c r="D102" s="29"/>
      <c r="E102" s="16"/>
      <c r="F102" s="29"/>
      <c r="G102" s="16"/>
      <c r="H102" s="16"/>
      <c r="I102" s="16"/>
    </row>
    <row r="103" spans="2:9" ht="13.5" customHeight="1">
      <c r="B103" s="38" t="s">
        <v>65</v>
      </c>
      <c r="C103" s="218">
        <v>156000</v>
      </c>
      <c r="D103" s="173"/>
      <c r="E103" s="218">
        <v>40000</v>
      </c>
      <c r="F103" s="138"/>
      <c r="G103" s="218">
        <v>32610</v>
      </c>
      <c r="H103" s="155"/>
      <c r="I103" s="218">
        <v>33000</v>
      </c>
    </row>
    <row r="104" spans="2:9" ht="14.25">
      <c r="B104" s="212" t="s">
        <v>66</v>
      </c>
      <c r="C104" s="216">
        <v>1035</v>
      </c>
      <c r="D104" s="181"/>
      <c r="E104" s="215">
        <v>1100</v>
      </c>
      <c r="F104" s="29"/>
      <c r="G104" s="216">
        <v>4215</v>
      </c>
      <c r="H104" s="154"/>
      <c r="I104" s="215">
        <v>5300</v>
      </c>
    </row>
    <row r="105" spans="2:9" ht="14.25">
      <c r="B105" s="27" t="s">
        <v>67</v>
      </c>
      <c r="C105" s="216">
        <v>17394.23</v>
      </c>
      <c r="D105" s="181"/>
      <c r="E105" s="215">
        <v>18000</v>
      </c>
      <c r="F105" s="29"/>
      <c r="G105" s="216">
        <v>19119.2</v>
      </c>
      <c r="H105" s="154"/>
      <c r="I105" s="215">
        <v>20000</v>
      </c>
    </row>
    <row r="106" spans="2:9" ht="15" thickBot="1">
      <c r="B106" s="28" t="s">
        <v>68</v>
      </c>
      <c r="C106" s="226">
        <f>21376.85+24055.56+7225.7</f>
        <v>52658.11</v>
      </c>
      <c r="D106" s="181"/>
      <c r="E106" s="121">
        <v>53500</v>
      </c>
      <c r="F106" s="29"/>
      <c r="G106" s="226">
        <f>14476.41+23090.33+7851.72</f>
        <v>45418.46000000001</v>
      </c>
      <c r="H106" s="154"/>
      <c r="I106" s="121">
        <v>47500</v>
      </c>
    </row>
    <row r="107" spans="2:9" s="74" customFormat="1" ht="12.75" customHeight="1">
      <c r="B107" s="14"/>
      <c r="C107" s="16"/>
      <c r="D107" s="29"/>
      <c r="E107" s="16"/>
      <c r="F107" s="29"/>
      <c r="G107" s="16"/>
      <c r="H107" s="16"/>
      <c r="I107" s="16"/>
    </row>
    <row r="108" spans="2:9" s="74" customFormat="1" ht="22.5" customHeight="1">
      <c r="B108" s="29"/>
      <c r="C108" s="16"/>
      <c r="D108" s="29"/>
      <c r="E108" s="16"/>
      <c r="F108" s="29"/>
      <c r="G108" s="16"/>
      <c r="H108" s="16"/>
      <c r="I108" s="16"/>
    </row>
    <row r="109" spans="2:9" s="74" customFormat="1" ht="22.5" customHeight="1" thickBot="1">
      <c r="B109" s="29"/>
      <c r="C109" s="16"/>
      <c r="D109" s="29"/>
      <c r="E109" s="16"/>
      <c r="F109" s="29"/>
      <c r="G109" s="16"/>
      <c r="H109" s="16"/>
      <c r="I109" s="16"/>
    </row>
    <row r="110" spans="2:9" s="75" customFormat="1" ht="21" customHeight="1" thickBot="1">
      <c r="B110" s="84" t="s">
        <v>17</v>
      </c>
      <c r="C110" s="94">
        <f>+C112+C120</f>
        <v>948579.4500000001</v>
      </c>
      <c r="D110" s="189"/>
      <c r="E110" s="94">
        <f>+E112+E120</f>
        <v>1138911</v>
      </c>
      <c r="F110" s="163"/>
      <c r="G110" s="94">
        <f>+G112+G120</f>
        <v>1551764.6799999997</v>
      </c>
      <c r="H110" s="152"/>
      <c r="I110" s="94">
        <f>+I112+I120</f>
        <v>1839796</v>
      </c>
    </row>
    <row r="111" spans="2:9" s="76" customFormat="1" ht="16.5" customHeight="1" thickBot="1">
      <c r="B111" s="36"/>
      <c r="C111" s="34"/>
      <c r="D111" s="162"/>
      <c r="E111" s="34"/>
      <c r="F111" s="162"/>
      <c r="G111" s="34"/>
      <c r="H111" s="152"/>
      <c r="I111" s="34"/>
    </row>
    <row r="112" spans="2:9" s="75" customFormat="1" ht="17.25" customHeight="1" thickBot="1">
      <c r="B112" s="81" t="s">
        <v>7</v>
      </c>
      <c r="C112" s="95">
        <f>SUM(C113:C119)</f>
        <v>705988.06</v>
      </c>
      <c r="D112" s="182"/>
      <c r="E112" s="95">
        <f>SUM(E113:E119)</f>
        <v>853515</v>
      </c>
      <c r="F112" s="158"/>
      <c r="G112" s="95">
        <f>SUM(G113:G119)</f>
        <v>1220604.9899999998</v>
      </c>
      <c r="H112" s="153"/>
      <c r="I112" s="95">
        <f>SUM(I113:I119)</f>
        <v>1502700</v>
      </c>
    </row>
    <row r="113" spans="2:9" ht="13.5" customHeight="1">
      <c r="B113" s="26" t="s">
        <v>69</v>
      </c>
      <c r="C113" s="218">
        <f>46317.39+1671.34</f>
        <v>47988.729999999996</v>
      </c>
      <c r="D113" s="181"/>
      <c r="E113" s="213">
        <v>50000</v>
      </c>
      <c r="F113" s="29"/>
      <c r="G113" s="218">
        <f>43977.7+1736.76+4173</f>
        <v>49887.46</v>
      </c>
      <c r="H113" s="154"/>
      <c r="I113" s="213">
        <v>55000</v>
      </c>
    </row>
    <row r="114" spans="2:9" ht="14.25">
      <c r="B114" s="27" t="s">
        <v>70</v>
      </c>
      <c r="C114" s="216">
        <f>21403.98+1605.16</f>
        <v>23009.14</v>
      </c>
      <c r="D114" s="181"/>
      <c r="E114" s="118">
        <v>25000</v>
      </c>
      <c r="F114" s="29"/>
      <c r="G114" s="216">
        <f>26024.23+1526.55</f>
        <v>27550.78</v>
      </c>
      <c r="H114" s="154"/>
      <c r="I114" s="118">
        <v>27700</v>
      </c>
    </row>
    <row r="115" spans="2:9" ht="14.25" customHeight="1">
      <c r="B115" s="109" t="s">
        <v>71</v>
      </c>
      <c r="C115" s="216">
        <f>17068.21+465</f>
        <v>17533.21</v>
      </c>
      <c r="D115" s="190"/>
      <c r="E115" s="216">
        <v>220000</v>
      </c>
      <c r="F115" s="164"/>
      <c r="G115" s="216">
        <v>16018.29</v>
      </c>
      <c r="H115" s="155"/>
      <c r="I115" s="216">
        <f>151000+101000</f>
        <v>252000</v>
      </c>
    </row>
    <row r="116" spans="2:9" ht="14.25" customHeight="1">
      <c r="B116" s="23" t="s">
        <v>72</v>
      </c>
      <c r="C116" s="216">
        <f>216279.8+110038.64+40474.91+69667.12+85005.25</f>
        <v>521465.72</v>
      </c>
      <c r="D116" s="191"/>
      <c r="E116" s="215">
        <v>452000</v>
      </c>
      <c r="F116" s="160"/>
      <c r="G116" s="216">
        <f>978715.33+5799.4+2996+341.87+428+13396.4+6577.32</f>
        <v>1008254.32</v>
      </c>
      <c r="H116" s="154"/>
      <c r="I116" s="215">
        <v>1082000</v>
      </c>
    </row>
    <row r="117" spans="2:9" ht="14.25">
      <c r="B117" s="37" t="s">
        <v>73</v>
      </c>
      <c r="C117" s="216">
        <v>15472.14</v>
      </c>
      <c r="D117" s="177"/>
      <c r="E117" s="118">
        <v>18000</v>
      </c>
      <c r="F117" s="32"/>
      <c r="G117" s="216">
        <v>15600.46</v>
      </c>
      <c r="H117" s="154"/>
      <c r="I117" s="118">
        <v>16000</v>
      </c>
    </row>
    <row r="118" spans="2:9" ht="14.25">
      <c r="B118" s="199" t="s">
        <v>74</v>
      </c>
      <c r="C118" s="216">
        <v>16700.93</v>
      </c>
      <c r="D118" s="128"/>
      <c r="E118" s="119">
        <v>18000</v>
      </c>
      <c r="F118" s="165"/>
      <c r="G118" s="216">
        <v>2369</v>
      </c>
      <c r="H118" s="155"/>
      <c r="I118" s="119">
        <v>5000</v>
      </c>
    </row>
    <row r="119" spans="2:9" s="74" customFormat="1" ht="14.25" customHeight="1" thickBot="1">
      <c r="B119" s="198" t="s">
        <v>87</v>
      </c>
      <c r="C119" s="217">
        <f>1600+36400.83+25817.36</f>
        <v>63818.19</v>
      </c>
      <c r="D119" s="175"/>
      <c r="E119" s="217">
        <v>70515</v>
      </c>
      <c r="F119" s="140"/>
      <c r="G119" s="217">
        <f>36960.58+2000+61964.1</f>
        <v>100924.68</v>
      </c>
      <c r="H119" s="155"/>
      <c r="I119" s="217">
        <f>62000+3000</f>
        <v>65000</v>
      </c>
    </row>
    <row r="120" spans="2:9" s="75" customFormat="1" ht="17.25" customHeight="1" thickBot="1">
      <c r="B120" s="81" t="s">
        <v>8</v>
      </c>
      <c r="C120" s="95">
        <f>SUM(C121:C135)</f>
        <v>242591.39</v>
      </c>
      <c r="D120" s="182"/>
      <c r="E120" s="95">
        <f>SUM(E121:E135)</f>
        <v>285396</v>
      </c>
      <c r="F120" s="158"/>
      <c r="G120" s="95">
        <f>SUM(G121:G135)</f>
        <v>331159.69</v>
      </c>
      <c r="H120" s="153"/>
      <c r="I120" s="95">
        <f>SUM(I121:I135)</f>
        <v>337096</v>
      </c>
    </row>
    <row r="121" spans="2:9" ht="14.25">
      <c r="B121" s="27" t="s">
        <v>75</v>
      </c>
      <c r="C121" s="218">
        <f>5208.82+796.08+679+1962.41</f>
        <v>8646.31</v>
      </c>
      <c r="D121" s="181"/>
      <c r="E121" s="213">
        <v>12000</v>
      </c>
      <c r="F121" s="29"/>
      <c r="G121" s="218">
        <f>8971.1+814.13+2730.67</f>
        <v>12515.9</v>
      </c>
      <c r="H121" s="154"/>
      <c r="I121" s="213">
        <v>14000</v>
      </c>
    </row>
    <row r="122" spans="2:9" ht="14.25">
      <c r="B122" s="27" t="s">
        <v>76</v>
      </c>
      <c r="C122" s="216">
        <f>81.16+0.48+106.74+0.75+3.95+1354.01+305.91+24.49+573.02+1279.4+133.1</f>
        <v>3863.01</v>
      </c>
      <c r="D122" s="181"/>
      <c r="E122" s="118">
        <v>7500</v>
      </c>
      <c r="F122" s="29"/>
      <c r="G122" s="216">
        <f>15+81+21.27-30+2+690.83+1279.4+2248.18</f>
        <v>4307.68</v>
      </c>
      <c r="H122" s="154"/>
      <c r="I122" s="118">
        <v>4400</v>
      </c>
    </row>
    <row r="123" spans="2:9" ht="14.25">
      <c r="B123" s="27" t="s">
        <v>95</v>
      </c>
      <c r="C123" s="216">
        <f>225.45+3660.6+500.04+2968.83+1853.05+23.75+201.99+253.61+921.24+672.96+242.57+4580.73+226.44+319.32+426.75+1452.58+659.56+165.9+681.42+977.05+205.01+86.16+780+286.83+77.04+86.16+86.4+276.08+480+322.69+321.81+630.82+220+2997.67+14.36+206.75+138.69+1360+253.32+483.96+680.65+39.42+417.36+227.29+1736.47+1190+1109.3+96+164.96+168.48+1295.63+768.95</f>
        <v>38222.100000000006</v>
      </c>
      <c r="D123" s="181"/>
      <c r="E123" s="118">
        <v>36500</v>
      </c>
      <c r="F123" s="29"/>
      <c r="G123" s="216">
        <f>236.26+4108.59+4461.44+525.03+672.96+445.36+8689.5+1523.24+77.74+1939.95+203.22+151.16+1011.83+46.74+325.65+57.44+240+145.99+88.68+71.8+86.4+47.87+480+396.48+210.69+1503.02+220+2927.4+14.36+164.88+2370+365.92+1637.26+592.7+134.92+100.19+3822.99+6.48+1052.18+71.28+843.29+4310.77+635.81+28.72</f>
        <v>47046.19000000002</v>
      </c>
      <c r="H123" s="154"/>
      <c r="I123" s="118">
        <v>48000</v>
      </c>
    </row>
    <row r="124" spans="2:9" ht="14.25">
      <c r="B124" s="27" t="s">
        <v>77</v>
      </c>
      <c r="C124" s="216">
        <v>12824.25</v>
      </c>
      <c r="D124" s="181"/>
      <c r="E124" s="118">
        <v>12500</v>
      </c>
      <c r="F124" s="29"/>
      <c r="G124" s="216">
        <v>11654.71</v>
      </c>
      <c r="H124" s="154"/>
      <c r="I124" s="118">
        <v>12000</v>
      </c>
    </row>
    <row r="125" spans="2:9" ht="14.25">
      <c r="B125" s="27" t="s">
        <v>78</v>
      </c>
      <c r="C125" s="216">
        <f>2381.22+499.2</f>
        <v>2880.4199999999996</v>
      </c>
      <c r="D125" s="181"/>
      <c r="E125" s="118">
        <v>3200</v>
      </c>
      <c r="F125" s="29"/>
      <c r="G125" s="216">
        <f>2082.38+1598.68</f>
        <v>3681.0600000000004</v>
      </c>
      <c r="H125" s="154"/>
      <c r="I125" s="118">
        <v>3700</v>
      </c>
    </row>
    <row r="126" spans="2:9" ht="14.25">
      <c r="B126" s="27" t="s">
        <v>79</v>
      </c>
      <c r="C126" s="216">
        <v>12780.32</v>
      </c>
      <c r="D126" s="181"/>
      <c r="E126" s="118">
        <v>13000</v>
      </c>
      <c r="F126" s="29"/>
      <c r="G126" s="216">
        <v>12996.12</v>
      </c>
      <c r="H126" s="154"/>
      <c r="I126" s="118">
        <v>13000</v>
      </c>
    </row>
    <row r="127" spans="2:9" ht="14.25">
      <c r="B127" s="27" t="s">
        <v>80</v>
      </c>
      <c r="C127" s="216">
        <f>12006.07+267.04+2375.87+351.44+123.45</f>
        <v>15123.87</v>
      </c>
      <c r="D127" s="181"/>
      <c r="E127" s="118">
        <v>15500</v>
      </c>
      <c r="F127" s="29"/>
      <c r="G127" s="216">
        <f>14011.33+151.18+2461.03+545.95+171.71</f>
        <v>17341.2</v>
      </c>
      <c r="H127" s="154"/>
      <c r="I127" s="118">
        <v>17400</v>
      </c>
    </row>
    <row r="128" spans="2:9" ht="14.25">
      <c r="B128" s="23" t="s">
        <v>81</v>
      </c>
      <c r="C128" s="216">
        <v>260.95</v>
      </c>
      <c r="D128" s="191"/>
      <c r="E128" s="118">
        <v>400</v>
      </c>
      <c r="F128" s="160"/>
      <c r="G128" s="216">
        <v>91</v>
      </c>
      <c r="H128" s="154"/>
      <c r="I128" s="118">
        <v>250</v>
      </c>
    </row>
    <row r="129" spans="2:9" ht="14.25">
      <c r="B129" s="23" t="s">
        <v>82</v>
      </c>
      <c r="C129" s="216">
        <v>7102.53</v>
      </c>
      <c r="D129" s="191"/>
      <c r="E129" s="118">
        <v>8000</v>
      </c>
      <c r="F129" s="160"/>
      <c r="G129" s="216">
        <v>4507.34</v>
      </c>
      <c r="H129" s="154"/>
      <c r="I129" s="118">
        <v>7000</v>
      </c>
    </row>
    <row r="130" spans="2:9" ht="14.25">
      <c r="B130" s="23" t="s">
        <v>83</v>
      </c>
      <c r="C130" s="216">
        <v>2346.14</v>
      </c>
      <c r="D130" s="191"/>
      <c r="E130" s="118">
        <v>3000</v>
      </c>
      <c r="F130" s="160"/>
      <c r="G130" s="216">
        <f>1523.26+241.47</f>
        <v>1764.73</v>
      </c>
      <c r="H130" s="154"/>
      <c r="I130" s="118">
        <v>2500</v>
      </c>
    </row>
    <row r="131" spans="2:9" ht="14.25">
      <c r="B131" s="27" t="s">
        <v>88</v>
      </c>
      <c r="C131" s="216">
        <f>268.24+1899.06</f>
        <v>2167.3</v>
      </c>
      <c r="D131" s="181"/>
      <c r="E131" s="118">
        <v>4000</v>
      </c>
      <c r="F131" s="29"/>
      <c r="G131" s="216">
        <f>884.42+2042.99</f>
        <v>2927.41</v>
      </c>
      <c r="H131" s="154"/>
      <c r="I131" s="118">
        <v>3000</v>
      </c>
    </row>
    <row r="132" spans="2:9" ht="14.25">
      <c r="B132" s="27" t="s">
        <v>84</v>
      </c>
      <c r="C132" s="216">
        <v>1022.35</v>
      </c>
      <c r="D132" s="181"/>
      <c r="E132" s="118">
        <v>5000</v>
      </c>
      <c r="F132" s="29"/>
      <c r="G132" s="216">
        <v>2033</v>
      </c>
      <c r="H132" s="154"/>
      <c r="I132" s="118">
        <v>2500</v>
      </c>
    </row>
    <row r="133" spans="2:9" ht="14.25">
      <c r="B133" s="27" t="s">
        <v>153</v>
      </c>
      <c r="C133" s="217">
        <v>4777.07</v>
      </c>
      <c r="D133" s="181"/>
      <c r="E133" s="123">
        <v>4800</v>
      </c>
      <c r="F133" s="29"/>
      <c r="G133" s="217">
        <v>4981.17</v>
      </c>
      <c r="H133" s="154"/>
      <c r="I133" s="123">
        <v>5000</v>
      </c>
    </row>
    <row r="134" spans="2:9" ht="14.25">
      <c r="B134" s="27" t="s">
        <v>139</v>
      </c>
      <c r="C134" s="217">
        <f>14000+2450+1800+1200+1200+2700+2700+2800+4200+4800+4200+3850+1200+4800+7000+1000+1400</f>
        <v>61300</v>
      </c>
      <c r="D134" s="181"/>
      <c r="E134" s="220">
        <v>89996</v>
      </c>
      <c r="F134" s="29"/>
      <c r="G134" s="217">
        <f>10900+7270+1800+1300+1100+5400+3400+4800+4800+3850+3850+1500+9950+16800+8400+2851.8+4304</f>
        <v>92275.8</v>
      </c>
      <c r="H134" s="154"/>
      <c r="I134" s="220">
        <v>94346</v>
      </c>
    </row>
    <row r="135" spans="2:9" ht="15" thickBot="1">
      <c r="B135" s="28" t="s">
        <v>140</v>
      </c>
      <c r="C135" s="226">
        <f>3600+3493.8+1364.25+4695.36+2860.17+911.64+1784.88+18061.38+4900+2731.75+24793.54+78</f>
        <v>69274.77</v>
      </c>
      <c r="D135" s="181"/>
      <c r="E135" s="121">
        <v>70000</v>
      </c>
      <c r="F135" s="29"/>
      <c r="G135" s="226">
        <f>3600+3493.8+1968+5103.72+2678.67+911.64+763.83+1603.14+397.52+17728.5+42871.16+307.51+1957.63+29061.33+383.85+206.08</f>
        <v>113036.38000000002</v>
      </c>
      <c r="H135" s="154"/>
      <c r="I135" s="121">
        <v>110000</v>
      </c>
    </row>
    <row r="136" spans="2:9" s="74" customFormat="1" ht="29.25" customHeight="1" thickBot="1">
      <c r="B136" s="22"/>
      <c r="C136" s="96"/>
      <c r="D136" s="29"/>
      <c r="E136" s="96"/>
      <c r="F136" s="29"/>
      <c r="G136" s="96"/>
      <c r="H136" s="16"/>
      <c r="I136" s="96"/>
    </row>
    <row r="137" spans="2:9" s="77" customFormat="1" ht="23.25" customHeight="1" thickBot="1">
      <c r="B137" s="207" t="s">
        <v>50</v>
      </c>
      <c r="C137" s="97">
        <f>C8+C86+C96+C101+C110</f>
        <v>4921535.06</v>
      </c>
      <c r="D137" s="192"/>
      <c r="E137" s="97">
        <f>E8+E86+E96+E101+E110</f>
        <v>5714745</v>
      </c>
      <c r="F137" s="166"/>
      <c r="G137" s="97">
        <f>G8+G86+G96+G101+G110</f>
        <v>6271059.6899999995</v>
      </c>
      <c r="H137" s="152"/>
      <c r="I137" s="97">
        <f>I8+I86+I96+I101+I110</f>
        <v>6875950</v>
      </c>
    </row>
    <row r="138" spans="2:9" ht="61.5" customHeight="1">
      <c r="B138" s="74"/>
      <c r="C138" s="17"/>
      <c r="E138" s="17"/>
      <c r="G138" s="17"/>
      <c r="H138" s="17"/>
      <c r="I138" s="17"/>
    </row>
    <row r="139" spans="2:9" ht="26.25" customHeight="1" thickBot="1">
      <c r="B139" s="74"/>
      <c r="C139" s="17"/>
      <c r="E139" s="17"/>
      <c r="G139" s="17"/>
      <c r="H139" s="17"/>
      <c r="I139" s="17"/>
    </row>
    <row r="140" spans="2:9" s="75" customFormat="1" ht="21" customHeight="1" thickBot="1">
      <c r="B140" s="85" t="s">
        <v>9</v>
      </c>
      <c r="C140" s="94">
        <f>SUM(C142:C153)</f>
        <v>688771.38</v>
      </c>
      <c r="D140" s="193"/>
      <c r="E140" s="94">
        <f>SUM(E142:E153)</f>
        <v>2532035</v>
      </c>
      <c r="F140" s="158"/>
      <c r="G140" s="94">
        <f>SUM(G142:G153)</f>
        <v>1766410.24</v>
      </c>
      <c r="H140" s="152"/>
      <c r="I140" s="94">
        <f>SUM(I142:I153)</f>
        <v>3690000</v>
      </c>
    </row>
    <row r="141" spans="2:9" ht="9" customHeight="1" thickBot="1">
      <c r="B141" s="29"/>
      <c r="C141" s="16"/>
      <c r="D141" s="29"/>
      <c r="E141" s="16"/>
      <c r="F141" s="29"/>
      <c r="G141" s="16"/>
      <c r="H141" s="16"/>
      <c r="I141" s="16"/>
    </row>
    <row r="142" spans="2:9" ht="15" customHeight="1">
      <c r="B142" s="38" t="s">
        <v>85</v>
      </c>
      <c r="C142" s="218">
        <f>41767.07+8774+14193.98</f>
        <v>64735.05</v>
      </c>
      <c r="D142" s="181"/>
      <c r="E142" s="213">
        <f>745000</f>
        <v>745000</v>
      </c>
      <c r="F142" s="29"/>
      <c r="G142" s="218">
        <f>13627.73+6420+57250.81+254245.77+8141.31</f>
        <v>339685.62</v>
      </c>
      <c r="H142" s="154"/>
      <c r="I142" s="213">
        <v>865000</v>
      </c>
    </row>
    <row r="143" spans="2:9" ht="15" customHeight="1">
      <c r="B143" s="109" t="s">
        <v>218</v>
      </c>
      <c r="C143" s="217">
        <f>2023.11+21362.85+6742.78-4794.36</f>
        <v>25334.379999999997</v>
      </c>
      <c r="D143" s="191"/>
      <c r="E143" s="219">
        <v>25000</v>
      </c>
      <c r="F143" s="160"/>
      <c r="G143" s="217">
        <v>30824.1</v>
      </c>
      <c r="H143" s="154"/>
      <c r="I143" s="219">
        <v>31200</v>
      </c>
    </row>
    <row r="144" spans="2:9" ht="15" customHeight="1">
      <c r="B144" s="109" t="s">
        <v>216</v>
      </c>
      <c r="C144" s="217">
        <f>15768.15+60220+65308.68+7345</f>
        <v>148641.83</v>
      </c>
      <c r="D144" s="191"/>
      <c r="E144" s="219">
        <v>633500</v>
      </c>
      <c r="F144" s="160"/>
      <c r="G144" s="217">
        <f>28034+9298.3+15005+16157+70037.14+49755+1712+132671.49</f>
        <v>322669.93</v>
      </c>
      <c r="H144" s="154"/>
      <c r="I144" s="219">
        <v>1902000</v>
      </c>
    </row>
    <row r="145" spans="2:9" ht="15" customHeight="1">
      <c r="B145" s="109" t="s">
        <v>161</v>
      </c>
      <c r="C145" s="217">
        <v>263283.46</v>
      </c>
      <c r="D145" s="191"/>
      <c r="E145" s="115">
        <v>255938</v>
      </c>
      <c r="F145" s="160"/>
      <c r="G145" s="217">
        <v>268798.51</v>
      </c>
      <c r="H145" s="154"/>
      <c r="I145" s="115">
        <v>268800</v>
      </c>
    </row>
    <row r="146" spans="2:9" ht="15" customHeight="1">
      <c r="B146" s="109" t="s">
        <v>215</v>
      </c>
      <c r="C146" s="217">
        <v>0</v>
      </c>
      <c r="D146" s="191"/>
      <c r="E146" s="219">
        <v>750000</v>
      </c>
      <c r="F146" s="160"/>
      <c r="G146" s="217">
        <f>535+33993.15+8036.5+11537.88+78678.52+1348.63+153923.84+1284+20544+4792+59948.18+3008.62+13824.79+9630+26421.72+486.92+1284+15943</f>
        <v>445220.74999999994</v>
      </c>
      <c r="H146" s="154"/>
      <c r="I146" s="219">
        <v>470000</v>
      </c>
    </row>
    <row r="147" spans="2:9" ht="15" customHeight="1">
      <c r="B147" s="109" t="s">
        <v>208</v>
      </c>
      <c r="C147" s="227">
        <v>0</v>
      </c>
      <c r="D147" s="191"/>
      <c r="E147" s="219">
        <v>100000</v>
      </c>
      <c r="F147" s="160"/>
      <c r="G147" s="149">
        <v>0</v>
      </c>
      <c r="H147" s="154"/>
      <c r="I147" s="219">
        <v>0</v>
      </c>
    </row>
    <row r="148" spans="2:9" ht="14.25">
      <c r="B148" s="109" t="s">
        <v>209</v>
      </c>
      <c r="C148" s="227">
        <v>0</v>
      </c>
      <c r="D148" s="191"/>
      <c r="E148" s="220">
        <v>0</v>
      </c>
      <c r="F148" s="160"/>
      <c r="G148" s="149">
        <v>0</v>
      </c>
      <c r="H148" s="154"/>
      <c r="I148" s="220">
        <v>0</v>
      </c>
    </row>
    <row r="149" spans="2:9" ht="14.25">
      <c r="B149" s="199" t="s">
        <v>210</v>
      </c>
      <c r="C149" s="217">
        <v>0</v>
      </c>
      <c r="D149" s="191"/>
      <c r="E149" s="220">
        <v>2000</v>
      </c>
      <c r="F149" s="160"/>
      <c r="G149" s="149">
        <v>0</v>
      </c>
      <c r="H149" s="154"/>
      <c r="I149" s="220">
        <v>0</v>
      </c>
    </row>
    <row r="150" spans="2:9" ht="14.25">
      <c r="B150" s="109" t="s">
        <v>214</v>
      </c>
      <c r="C150" s="149">
        <v>0</v>
      </c>
      <c r="D150" s="191"/>
      <c r="E150" s="220">
        <v>5000</v>
      </c>
      <c r="F150" s="160"/>
      <c r="G150" s="149">
        <v>0</v>
      </c>
      <c r="H150" s="154"/>
      <c r="I150" s="220">
        <v>5000</v>
      </c>
    </row>
    <row r="151" spans="2:9" ht="14.25">
      <c r="B151" s="109" t="s">
        <v>211</v>
      </c>
      <c r="C151" s="217">
        <f>46460.67+9309+1819+53424.72+25466+12342.7+5586+2229.9</f>
        <v>156637.99000000002</v>
      </c>
      <c r="D151" s="191"/>
      <c r="E151" s="220">
        <v>0</v>
      </c>
      <c r="F151" s="160"/>
      <c r="G151" s="217">
        <v>0</v>
      </c>
      <c r="H151" s="154"/>
      <c r="I151" s="215">
        <f>15000+15000+8000+110000</f>
        <v>148000</v>
      </c>
    </row>
    <row r="152" spans="2:9" ht="14.25">
      <c r="B152" s="109" t="s">
        <v>212</v>
      </c>
      <c r="C152" s="217">
        <f>3424+4244.67+22470</f>
        <v>30138.67</v>
      </c>
      <c r="D152" s="191"/>
      <c r="E152" s="215">
        <v>15000</v>
      </c>
      <c r="F152" s="160"/>
      <c r="G152" s="217">
        <v>359211.33</v>
      </c>
      <c r="H152" s="154"/>
      <c r="I152" s="215"/>
    </row>
    <row r="153" spans="2:9" ht="15.75" thickBot="1">
      <c r="B153" s="131" t="s">
        <v>213</v>
      </c>
      <c r="C153" s="121"/>
      <c r="D153" s="194"/>
      <c r="E153" s="148">
        <v>597</v>
      </c>
      <c r="F153" s="32"/>
      <c r="G153" s="229"/>
      <c r="H153" s="154"/>
      <c r="I153" s="148"/>
    </row>
    <row r="154" spans="2:9" s="74" customFormat="1" ht="9" customHeight="1" thickBot="1">
      <c r="B154" s="32" t="s">
        <v>10</v>
      </c>
      <c r="C154" s="16"/>
      <c r="D154" s="32"/>
      <c r="E154" s="16"/>
      <c r="F154" s="32"/>
      <c r="G154" s="16"/>
      <c r="H154" s="16"/>
      <c r="I154" s="16" t="s">
        <v>189</v>
      </c>
    </row>
    <row r="155" spans="2:9" s="78" customFormat="1" ht="27" customHeight="1" thickBot="1">
      <c r="B155" s="208" t="s">
        <v>51</v>
      </c>
      <c r="C155" s="228">
        <f>+C137+C140</f>
        <v>5610306.4399999995</v>
      </c>
      <c r="D155" s="201"/>
      <c r="E155" s="204">
        <f>+E137+E140</f>
        <v>8246780</v>
      </c>
      <c r="F155" s="202"/>
      <c r="G155" s="228">
        <f>+G137+G140</f>
        <v>8037469.93</v>
      </c>
      <c r="H155" s="203"/>
      <c r="I155" s="204">
        <f>+I137+I140</f>
        <v>10565950</v>
      </c>
    </row>
  </sheetData>
  <sheetProtection/>
  <mergeCells count="8">
    <mergeCell ref="I6:I7"/>
    <mergeCell ref="B4:I4"/>
    <mergeCell ref="C6:C7"/>
    <mergeCell ref="B1:I1"/>
    <mergeCell ref="B2:I2"/>
    <mergeCell ref="B3:I3"/>
    <mergeCell ref="E6:E7"/>
    <mergeCell ref="G6:G7"/>
  </mergeCells>
  <printOptions/>
  <pageMargins left="0.5511811023622047" right="0.1968503937007874" top="0.4724409448818898" bottom="0.31496062992125984" header="0.2755905511811024" footer="0"/>
  <pageSetup horizontalDpi="600" verticalDpi="600" orientation="landscape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0"/>
  <sheetViews>
    <sheetView zoomScale="75" zoomScaleNormal="75" zoomScalePageLayoutView="0" workbookViewId="0" topLeftCell="A1">
      <selection activeCell="H22" sqref="H22"/>
    </sheetView>
  </sheetViews>
  <sheetFormatPr defaultColWidth="11.421875" defaultRowHeight="12.75"/>
  <cols>
    <col min="1" max="1" width="84.421875" style="0" customWidth="1"/>
    <col min="2" max="2" width="0.71875" style="0" customWidth="1"/>
    <col min="3" max="3" width="17.57421875" style="0" bestFit="1" customWidth="1"/>
    <col min="4" max="4" width="19.28125" style="0" bestFit="1" customWidth="1"/>
    <col min="5" max="5" width="0.71875" style="0" customWidth="1"/>
    <col min="6" max="6" width="18.28125" style="0" customWidth="1"/>
    <col min="7" max="7" width="13.7109375" style="43" bestFit="1" customWidth="1"/>
  </cols>
  <sheetData>
    <row r="1" ht="6.75" customHeight="1"/>
    <row r="2" spans="1:7" s="102" customFormat="1" ht="33.75">
      <c r="A2" s="262" t="s">
        <v>27</v>
      </c>
      <c r="B2" s="262"/>
      <c r="C2" s="262"/>
      <c r="D2" s="262"/>
      <c r="E2" s="262"/>
      <c r="F2" s="262"/>
      <c r="G2" s="262"/>
    </row>
    <row r="3" spans="1:7" s="102" customFormat="1" ht="23.25">
      <c r="A3" s="258" t="s">
        <v>28</v>
      </c>
      <c r="B3" s="258"/>
      <c r="C3" s="258"/>
      <c r="D3" s="258"/>
      <c r="E3" s="258"/>
      <c r="F3" s="258"/>
      <c r="G3" s="258"/>
    </row>
    <row r="4" spans="1:7" s="102" customFormat="1" ht="23.25">
      <c r="A4" s="259" t="s">
        <v>199</v>
      </c>
      <c r="B4" s="259"/>
      <c r="C4" s="259"/>
      <c r="D4" s="259"/>
      <c r="E4" s="259"/>
      <c r="F4" s="259"/>
      <c r="G4" s="259"/>
    </row>
    <row r="5" spans="1:7" ht="18.75">
      <c r="A5" s="263" t="s">
        <v>38</v>
      </c>
      <c r="B5" s="263"/>
      <c r="C5" s="263"/>
      <c r="D5" s="263"/>
      <c r="E5" s="263"/>
      <c r="F5" s="263"/>
      <c r="G5" s="263"/>
    </row>
    <row r="6" spans="1:7" ht="23.25" customHeight="1">
      <c r="A6" s="68"/>
      <c r="B6" s="68"/>
      <c r="C6" s="68"/>
      <c r="D6" s="68"/>
      <c r="E6" s="68"/>
      <c r="F6" s="68"/>
      <c r="G6" s="68"/>
    </row>
    <row r="7" ht="13.5" thickBot="1"/>
    <row r="8" spans="1:18" ht="23.25">
      <c r="A8" s="54" t="s">
        <v>30</v>
      </c>
      <c r="B8" s="62"/>
      <c r="C8" s="50" t="s">
        <v>86</v>
      </c>
      <c r="D8" s="50" t="s">
        <v>25</v>
      </c>
      <c r="E8" s="57"/>
      <c r="F8" s="66" t="s">
        <v>19</v>
      </c>
      <c r="G8" s="51" t="s">
        <v>20</v>
      </c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</row>
    <row r="9" spans="1:12" ht="24" thickBot="1">
      <c r="A9" s="54" t="s">
        <v>31</v>
      </c>
      <c r="B9" s="63"/>
      <c r="C9" s="52">
        <v>2023</v>
      </c>
      <c r="D9" s="52">
        <v>2024</v>
      </c>
      <c r="E9" s="58"/>
      <c r="F9" s="67" t="s">
        <v>21</v>
      </c>
      <c r="G9" s="53" t="s">
        <v>22</v>
      </c>
      <c r="L9" s="1"/>
    </row>
    <row r="10" spans="1:7" ht="18">
      <c r="A10" s="44" t="s">
        <v>32</v>
      </c>
      <c r="B10" s="64"/>
      <c r="C10" s="55">
        <f>+'Gastos '!G8</f>
        <v>2053561.4200000004</v>
      </c>
      <c r="D10" s="55">
        <f>+'Gastos '!I8</f>
        <v>2158354</v>
      </c>
      <c r="E10" s="59"/>
      <c r="F10" s="237">
        <f aca="true" t="shared" si="0" ref="F10:F15">+D10-C10</f>
        <v>104792.57999999961</v>
      </c>
      <c r="G10" s="238">
        <f aca="true" t="shared" si="1" ref="G10:G16">+F10/C10</f>
        <v>0.051029678966212556</v>
      </c>
    </row>
    <row r="11" spans="1:7" ht="18">
      <c r="A11" s="45" t="s">
        <v>33</v>
      </c>
      <c r="B11" s="64"/>
      <c r="C11" s="46">
        <f>+'Gastos '!G86</f>
        <v>2067346.5899999996</v>
      </c>
      <c r="D11" s="46">
        <f>+'Gastos '!I86</f>
        <v>2193000</v>
      </c>
      <c r="E11" s="60"/>
      <c r="F11" s="98">
        <f t="shared" si="0"/>
        <v>125653.41000000038</v>
      </c>
      <c r="G11" s="99">
        <f t="shared" si="1"/>
        <v>0.060780040757462156</v>
      </c>
    </row>
    <row r="12" spans="1:7" ht="18">
      <c r="A12" s="45" t="s">
        <v>34</v>
      </c>
      <c r="B12" s="64"/>
      <c r="C12" s="46">
        <f>+'Gastos '!G96</f>
        <v>497024.33999999997</v>
      </c>
      <c r="D12" s="46">
        <f>+'Gastos '!I96</f>
        <v>579000</v>
      </c>
      <c r="E12" s="60"/>
      <c r="F12" s="98">
        <f t="shared" si="0"/>
        <v>81975.66000000003</v>
      </c>
      <c r="G12" s="99">
        <f t="shared" si="1"/>
        <v>0.16493288839737716</v>
      </c>
    </row>
    <row r="13" spans="1:7" ht="18">
      <c r="A13" s="45" t="s">
        <v>6</v>
      </c>
      <c r="B13" s="64"/>
      <c r="C13" s="46">
        <f>+'Gastos '!G101</f>
        <v>101362.66</v>
      </c>
      <c r="D13" s="46">
        <f>+'Gastos '!I101</f>
        <v>105800</v>
      </c>
      <c r="E13" s="60"/>
      <c r="F13" s="247">
        <f t="shared" si="0"/>
        <v>4437.3399999999965</v>
      </c>
      <c r="G13" s="248">
        <f t="shared" si="1"/>
        <v>0.04377687010186983</v>
      </c>
    </row>
    <row r="14" spans="1:7" ht="18">
      <c r="A14" s="45" t="s">
        <v>37</v>
      </c>
      <c r="B14" s="64"/>
      <c r="C14" s="46">
        <f>+'Gastos '!G110</f>
        <v>1551764.6799999997</v>
      </c>
      <c r="D14" s="46">
        <f>+'Gastos '!I110</f>
        <v>1839796</v>
      </c>
      <c r="E14" s="60"/>
      <c r="F14" s="247">
        <f t="shared" si="0"/>
        <v>288031.3200000003</v>
      </c>
      <c r="G14" s="248">
        <f t="shared" si="1"/>
        <v>0.18561533440753425</v>
      </c>
    </row>
    <row r="15" spans="1:7" ht="18.75" thickBot="1">
      <c r="A15" s="61" t="s">
        <v>9</v>
      </c>
      <c r="B15" s="64"/>
      <c r="C15" s="47">
        <f>+'Gastos '!G140</f>
        <v>1766410.24</v>
      </c>
      <c r="D15" s="47">
        <f>+'Gastos '!I140</f>
        <v>3690000</v>
      </c>
      <c r="E15" s="60"/>
      <c r="F15" s="239">
        <f t="shared" si="0"/>
        <v>1923589.76</v>
      </c>
      <c r="G15" s="240">
        <f t="shared" si="1"/>
        <v>1.088982455174173</v>
      </c>
    </row>
    <row r="16" spans="1:7" ht="18.75" thickBot="1">
      <c r="A16" s="70" t="s">
        <v>24</v>
      </c>
      <c r="B16" s="65"/>
      <c r="C16" s="49">
        <f>SUM(C10:C15)</f>
        <v>8037469.93</v>
      </c>
      <c r="D16" s="48">
        <f>SUM(D10:D15)</f>
        <v>10565950</v>
      </c>
      <c r="E16" s="56"/>
      <c r="F16" s="210">
        <f>SUM(F10:F15)</f>
        <v>2528480.0700000003</v>
      </c>
      <c r="G16" s="211">
        <f t="shared" si="1"/>
        <v>0.3145865666709873</v>
      </c>
    </row>
    <row r="17" ht="6.75" customHeight="1"/>
    <row r="18" ht="6.75" customHeight="1"/>
    <row r="19" spans="1:7" ht="23.25">
      <c r="A19" s="261"/>
      <c r="B19" s="261"/>
      <c r="C19" s="261"/>
      <c r="D19" s="261"/>
      <c r="E19" s="261"/>
      <c r="F19" s="261"/>
      <c r="G19" s="261"/>
    </row>
    <row r="20" spans="6:7" ht="12.75">
      <c r="F20" s="102"/>
      <c r="G20" s="103"/>
    </row>
  </sheetData>
  <sheetProtection/>
  <mergeCells count="5">
    <mergeCell ref="A19:G19"/>
    <mergeCell ref="A2:G2"/>
    <mergeCell ref="A3:G3"/>
    <mergeCell ref="A4:G4"/>
    <mergeCell ref="A5:G5"/>
  </mergeCells>
  <printOptions/>
  <pageMargins left="0.26" right="0.1968503937007874" top="0.58" bottom="0.3937007874015748" header="1.01" footer="0.1968503937007874"/>
  <pageSetup fitToHeight="1" fitToWidth="1" horizontalDpi="300" verticalDpi="300" orientation="landscape" paperSize="9" scale="94" r:id="rId2"/>
  <headerFooter alignWithMargins="0">
    <oddHeader xml:space="preserve">&amp;C&amp;"Rockwell,Negrita"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OBISPADO DE CANARIAS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OBISPADO DE CANARIAS</dc:creator>
  <cp:keywords/>
  <dc:description/>
  <cp:lastModifiedBy>miryam montesdeoca</cp:lastModifiedBy>
  <cp:lastPrinted>2024-04-23T13:00:11Z</cp:lastPrinted>
  <dcterms:created xsi:type="dcterms:W3CDTF">2001-12-10T17:13:30Z</dcterms:created>
  <dcterms:modified xsi:type="dcterms:W3CDTF">2024-04-23T13:00:21Z</dcterms:modified>
  <cp:category/>
  <cp:version/>
  <cp:contentType/>
  <cp:contentStatus/>
</cp:coreProperties>
</file>