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120" tabRatio="598" activeTab="0"/>
  </bookViews>
  <sheets>
    <sheet name="Ingresos" sheetId="1" r:id="rId1"/>
    <sheet name="Resumen Ingresos" sheetId="2" r:id="rId2"/>
    <sheet name="Gastos " sheetId="3" r:id="rId3"/>
    <sheet name="Resumen Gastos" sheetId="4" r:id="rId4"/>
  </sheets>
  <definedNames>
    <definedName name="_xlnm.Print_Area" localSheetId="2">'Gastos '!$A$1:$I$158</definedName>
    <definedName name="_xlnm.Print_Titles" localSheetId="2">'Gastos '!$6:$7</definedName>
    <definedName name="_xlnm.Print_Titles" localSheetId="0">'Ingresos'!$7:$8</definedName>
  </definedNames>
  <calcPr fullCalcOnLoad="1"/>
</workbook>
</file>

<file path=xl/sharedStrings.xml><?xml version="1.0" encoding="utf-8"?>
<sst xmlns="http://schemas.openxmlformats.org/spreadsheetml/2006/main" count="243" uniqueCount="221">
  <si>
    <t xml:space="preserve">   1. ACCIONES PASTORALES Y ASISTENCIALES</t>
  </si>
  <si>
    <t xml:space="preserve">   1.1. Vicarías</t>
  </si>
  <si>
    <t xml:space="preserve">   1.3. Organismos de Corresponsabilidad</t>
  </si>
  <si>
    <t xml:space="preserve">   1.4. Ayuda a la Iglesia Universal</t>
  </si>
  <si>
    <t xml:space="preserve">   1.5. Varios</t>
  </si>
  <si>
    <t xml:space="preserve">   2. RETRIBUCIÓN DEL CLERO Y OTRO PERSONAL RESPONS. PASTORAL</t>
  </si>
  <si>
    <t xml:space="preserve">   4. APORTACIÓN A LOS CENTROS DE FORMACIÓN</t>
  </si>
  <si>
    <t xml:space="preserve">   5.1. Conservación de edificios</t>
  </si>
  <si>
    <t xml:space="preserve">   5.2. Gastos de Funcionamiento</t>
  </si>
  <si>
    <t xml:space="preserve">   6. GASTOS EXTRAORDINARIOS</t>
  </si>
  <si>
    <t xml:space="preserve"> </t>
  </si>
  <si>
    <t xml:space="preserve">   1. APORTACIONES VOLUNTARIAS DE LOS FIELES</t>
  </si>
  <si>
    <t xml:space="preserve">   3. INGRESOS DE PATRIMONIO Y OTRAS ACTIVIDADES</t>
  </si>
  <si>
    <t xml:space="preserve">   4. INGRESOS DIVERSOS</t>
  </si>
  <si>
    <t xml:space="preserve">   5. INGRESOS EXTRAORDINARIOS</t>
  </si>
  <si>
    <t>DIÓCESIS DE CANARIAS</t>
  </si>
  <si>
    <t xml:space="preserve">   2. APORTAC. VOLUNTARIAS POR ASIGNACIÓN TRIBUTARIA</t>
  </si>
  <si>
    <t xml:space="preserve">   5. CONSERVACIÓN DE EDIF. Y GTOS. DE  FUNCIONAMIENTO</t>
  </si>
  <si>
    <t xml:space="preserve">           CAPITULO DE INGRESOS</t>
  </si>
  <si>
    <t>DIFERENCIA</t>
  </si>
  <si>
    <t>%</t>
  </si>
  <si>
    <t>Presupuestos</t>
  </si>
  <si>
    <t>Desviación</t>
  </si>
  <si>
    <t xml:space="preserve">   2. APORTACIONES VOLUNTARIAS POR ASIGNACIÓN TRIBUTARIA</t>
  </si>
  <si>
    <t xml:space="preserve">   TOTAL GENERAL</t>
  </si>
  <si>
    <t>Presupuesto</t>
  </si>
  <si>
    <t xml:space="preserve">                 VALOR EN EUROS</t>
  </si>
  <si>
    <t xml:space="preserve">DIÓCESIS DE CANARIAS </t>
  </si>
  <si>
    <t>Administración Diocesana</t>
  </si>
  <si>
    <t>CAPÍTULO DE INGRESOS</t>
  </si>
  <si>
    <t xml:space="preserve">           CAPITULO DE GASTOS</t>
  </si>
  <si>
    <t xml:space="preserve">                VALOR EN EUROS</t>
  </si>
  <si>
    <t xml:space="preserve">   1. ACCIONES PASTORALES Y ASISTENCIALES </t>
  </si>
  <si>
    <t xml:space="preserve">   2. RETRIBUCIÓN DEL CLERO Y OTRO PERSONAL DE RESP.PASTORAL</t>
  </si>
  <si>
    <t xml:space="preserve">   3. RETRIBUCIÓN SEGLARES</t>
  </si>
  <si>
    <t>CAPÍTULO DE GASTOS</t>
  </si>
  <si>
    <t>RESUMEN COMPARATIVO - CAPÍTULOS DE INGRESOS</t>
  </si>
  <si>
    <t xml:space="preserve">   5. CONSERVACIÓN EDIFICIOS  Y GASTOS DE FUNCIONAMIENTO </t>
  </si>
  <si>
    <t>RESUMEN COMPARATIVO - CAPÍTULOS DE GASTOS</t>
  </si>
  <si>
    <t xml:space="preserve">   1.2. Secretariados, Delegaciones, Movimientos…</t>
  </si>
  <si>
    <t>2.4.     C.E.E. Seguros  Sociales Clero</t>
  </si>
  <si>
    <t>2.1.     Conferencia Episcopal Española</t>
  </si>
  <si>
    <t>2.2.     Insularidad A</t>
  </si>
  <si>
    <t>2.3.     Insularidad B</t>
  </si>
  <si>
    <t>3.2.    Intereses Cuentas Corrientes</t>
  </si>
  <si>
    <t>3.3.    Dividendos de la COPE</t>
  </si>
  <si>
    <t>3.5.    Canon garajes Vega S. José</t>
  </si>
  <si>
    <t>4.3.    Aportación COPE - Complemento Nóminas</t>
  </si>
  <si>
    <t xml:space="preserve">   TOTAL INGRESOS ORDINARIOS….................</t>
  </si>
  <si>
    <t xml:space="preserve">   TOTAL GENERAL………….................…..</t>
  </si>
  <si>
    <t xml:space="preserve">   TOTAL GASTOS ORDINARIOS ……..........……………………</t>
  </si>
  <si>
    <t xml:space="preserve">   TOTAL GENERAL……………..…………</t>
  </si>
  <si>
    <t>4.1.    Devolución de préstamos personales y parroquiales</t>
  </si>
  <si>
    <t xml:space="preserve">   3. RETRIBUCIÓN DE SEGLARES (OBISPADO)</t>
  </si>
  <si>
    <t>1.1.        Vicaría General</t>
  </si>
  <si>
    <t>1.2.        Vicaría Judicial</t>
  </si>
  <si>
    <t>1.3.        Vicaría de Las Palmas de Gran Canaria</t>
  </si>
  <si>
    <t>1.4.        Vicaría Centro - Norte</t>
  </si>
  <si>
    <t>1.5.        Vicaría Sur</t>
  </si>
  <si>
    <t>1.5.1.    Publicaciones</t>
  </si>
  <si>
    <t>2.1.       Retribución del Clero</t>
  </si>
  <si>
    <t>2.2.       Religiosos y Otro personal de Resp. Pastoral</t>
  </si>
  <si>
    <t>2.3.       Complementos a Sacerdotes Jubilados</t>
  </si>
  <si>
    <t>3.1.       Nómina Seglares</t>
  </si>
  <si>
    <t>3.2.       Seguridad Social Seglares</t>
  </si>
  <si>
    <t xml:space="preserve">4.1.       ISTIC </t>
  </si>
  <si>
    <t>4.2.       Colegio Español en Roma</t>
  </si>
  <si>
    <t>4.3.       Complementos de formación</t>
  </si>
  <si>
    <t xml:space="preserve">4.4.       Archivo Histórico Diocesano </t>
  </si>
  <si>
    <t xml:space="preserve">5.1.1.    Reparaciones ordinarias </t>
  </si>
  <si>
    <t>5.1.2.    Seguros incendios y responsabilidad civil</t>
  </si>
  <si>
    <t>5.1.3.    Ayudas a Parroquias</t>
  </si>
  <si>
    <t>5.1.4.    Préstamos a Parroquias</t>
  </si>
  <si>
    <t>5.1.5.    Estudio y Catalogación del Patrimonio Diocesano</t>
  </si>
  <si>
    <t>5.1.6.    Conservación Patrimonio Histórico</t>
  </si>
  <si>
    <t>5.2.1.    Reparación, Conservación y Mantenimiento</t>
  </si>
  <si>
    <t>5.2.2.    Servicios Bancarios y Similares</t>
  </si>
  <si>
    <t>5.2.4.    Material de Oficina</t>
  </si>
  <si>
    <t>5.2.5.    Material de Limpieza</t>
  </si>
  <si>
    <t>5.2.6.    Correspondencia</t>
  </si>
  <si>
    <t>5.2.7.    Teléfonos y Fax</t>
  </si>
  <si>
    <t>5.2.8.    Revistas y Periódicos</t>
  </si>
  <si>
    <t>5.2.9.    Imprevistos</t>
  </si>
  <si>
    <t>5.2.10.  Tributos</t>
  </si>
  <si>
    <t>5.2.12.  Mobiliario</t>
  </si>
  <si>
    <t>6.1.       Reparaciones extraordinarias</t>
  </si>
  <si>
    <t>Consolidado</t>
  </si>
  <si>
    <t xml:space="preserve">5.1.7.    Amortización de créditos </t>
  </si>
  <si>
    <t>5.2.11.  Vehículos (Mantenimiento / Gasolina)</t>
  </si>
  <si>
    <t>1.3.1.    Consejo Pastoral Diocesano</t>
  </si>
  <si>
    <t>1.3.2.    Consejo Presbiteral</t>
  </si>
  <si>
    <t>1.3.4.    Consejo de Asuntos Económico Diocesano</t>
  </si>
  <si>
    <t>1.3.5.    Asesoramiento</t>
  </si>
  <si>
    <t>1.3.6.    Cabildo Catedral</t>
  </si>
  <si>
    <t>1.3.7.    Comisión Técnica</t>
  </si>
  <si>
    <t>5.2.3.    Suministros (Agua , Luz y Comunidad)</t>
  </si>
  <si>
    <t>ADMINISTRACIÓN DIOCESANA</t>
  </si>
  <si>
    <t xml:space="preserve">3.1.    Intereses Plazo Fijo </t>
  </si>
  <si>
    <t>3.13.  Ingresos Archivo Histórico Diocesano</t>
  </si>
  <si>
    <t>1.3.3.    Colegio de Arciprestes</t>
  </si>
  <si>
    <t>1.2.1.     Delegación para el Clero</t>
  </si>
  <si>
    <t>1.2.2.     Delegación de Apostolado Seglar</t>
  </si>
  <si>
    <t>1.2.3 .    Delegación de Vida Consagrada</t>
  </si>
  <si>
    <t>1.2.4.     Delegación de Patrimonio Histórico</t>
  </si>
  <si>
    <t>1.2.5.     Secretariado de Pastoral de la Carretera</t>
  </si>
  <si>
    <t>1.2.7.     Secretariado de Ecumenismo</t>
  </si>
  <si>
    <t>1.2.8.     Secretariado de Liturgia</t>
  </si>
  <si>
    <t>1.2.9.     Secretariado de Medios de Comunicación</t>
  </si>
  <si>
    <t>1.2.10.   Secretariado de Misiones</t>
  </si>
  <si>
    <t>1.2.11.   Secretariado de Pastoral de Juventud</t>
  </si>
  <si>
    <t>1.2.12.   Secretariado de Pastoral de la Salud</t>
  </si>
  <si>
    <t>1.2.13.   Secretariado de Pastoral del Sordo</t>
  </si>
  <si>
    <t>1.2.14.   Secretariado de Pastoral del Mar</t>
  </si>
  <si>
    <t>1.2.15.   Secretariado de Pastoral Familiar</t>
  </si>
  <si>
    <t>1.2.16.   Secretariado de Pastoral Obrera</t>
  </si>
  <si>
    <t>1.2.17.   Secretariado de Pastoral Penitenciaria</t>
  </si>
  <si>
    <t>1.2.18.   Secretariado de Pastoral Vocacional</t>
  </si>
  <si>
    <t>1.2.19.   Secretariado de Pastoral de Turismo</t>
  </si>
  <si>
    <t>4.2.    Aportaciones Servicio Canario de Salud - Capellanes</t>
  </si>
  <si>
    <t xml:space="preserve">3.8.    Revista "Iglesia al Día" </t>
  </si>
  <si>
    <t>3.9.    Ingresos  Museo Diocesano Arte Sacro Gran Canaria</t>
  </si>
  <si>
    <t xml:space="preserve">3.12.  Ingresos Tribunal Eclesiástico </t>
  </si>
  <si>
    <t>3.6.    Canon garajes Santa Teresa del Niño Jesús</t>
  </si>
  <si>
    <t xml:space="preserve">3.10.  Ingresos  Museo Diocesano Arte Sacro Fuerteventura </t>
  </si>
  <si>
    <t>3.11.  Ingresos  Museo Diocesano Arte Sacro Lanzarote</t>
  </si>
  <si>
    <t xml:space="preserve">5.1.8.    Iglesia + Local Santo Hermano Pedro (Hipoteca) </t>
  </si>
  <si>
    <t>PRESUPUESTO DIOCESANO</t>
  </si>
  <si>
    <t xml:space="preserve"> PRESUPUESTO DIOCESANO</t>
  </si>
  <si>
    <t>1.5.2.    Viajes</t>
  </si>
  <si>
    <t>1.5.3.    Préstamos personales</t>
  </si>
  <si>
    <t>1.5.4.    Campaña de financiación de la Iglesia</t>
  </si>
  <si>
    <t>1.5.5.    Campaña Declaración de la renta</t>
  </si>
  <si>
    <t>1.5.6.    Hogares Sacerdotales</t>
  </si>
  <si>
    <t>1.5.8.    Museo Diocesano  Arte Sacro -Gran Canaria-</t>
  </si>
  <si>
    <t>1.5.9.    Museo Diocesano Arte Sacro -Fuerteventura-</t>
  </si>
  <si>
    <t>1.5.10.  Museo Diocesano Arte Sacro -Lanzarote-</t>
  </si>
  <si>
    <t>4.4.    Aportación Convenio Telefónica</t>
  </si>
  <si>
    <t>4.5.    Tasas y Expedientes</t>
  </si>
  <si>
    <t>4.6.    Otros Ingresos</t>
  </si>
  <si>
    <t xml:space="preserve">1.5.7.    Asuntos Jurídicos </t>
  </si>
  <si>
    <t>5.2.14.  Entrega de Alquileres de Parroquias</t>
  </si>
  <si>
    <t>5.1.    Subvenciones Explotación (P. Penitenciaria)</t>
  </si>
  <si>
    <t>6.2.       Subvenciones Explotación (P. Penitenciaria)</t>
  </si>
  <si>
    <t>5.2.15.  Otros gastos de funcionamiento</t>
  </si>
  <si>
    <t>1.4.1.    Aportación Diócesis Santa Sede - Canon 1271</t>
  </si>
  <si>
    <t>1.4.2.    Óbolo San Pedro - Colecta 29 de Junio</t>
  </si>
  <si>
    <t>1.4.3.    Fondo Nueva Evangelización</t>
  </si>
  <si>
    <t xml:space="preserve">2.4.       Seguridad Social Clero </t>
  </si>
  <si>
    <t>2.5.       Seg. Social Religiosos y Otro Pers. Resp. Pastoral</t>
  </si>
  <si>
    <t xml:space="preserve">2.6.       Otras Ayudas </t>
  </si>
  <si>
    <t>2.7.       Fondo Solidario</t>
  </si>
  <si>
    <t>3.14.  Ingresos Hogar Sacerdotal</t>
  </si>
  <si>
    <t xml:space="preserve">1.5.11.  Revista Iglesia al Día </t>
  </si>
  <si>
    <t xml:space="preserve">1.5.12.  Tribunal Eclesiástico </t>
  </si>
  <si>
    <t>3.15.  Radio Tamaraceite</t>
  </si>
  <si>
    <t xml:space="preserve">5.2.    Subvenciones Explotación (Secretariados y Delegaciones) </t>
  </si>
  <si>
    <t>1.4.    Aportación Nómina Clero</t>
  </si>
  <si>
    <t>1.5.    Colecta Diocesana</t>
  </si>
  <si>
    <t>1.6.    Suscripciones Diocesanas</t>
  </si>
  <si>
    <t>1.7.    Donativos</t>
  </si>
  <si>
    <t>1.8.    Misas y Binaciones</t>
  </si>
  <si>
    <t>1.9.    Óbolo San Pedro - Colecta 29 de Junio</t>
  </si>
  <si>
    <t>1.11.  Otros</t>
  </si>
  <si>
    <t>1.10.  Fondo Solidario</t>
  </si>
  <si>
    <t>1.2.    Ley de Rentas Eclesiásticas  (parroquias)</t>
  </si>
  <si>
    <t>5.2.13.  Quirón Prevención</t>
  </si>
  <si>
    <t>1.3.    Cuota Común Parroquial (otros org. diocesanos)</t>
  </si>
  <si>
    <t>3.16.  Pastoral Penitenciaria</t>
  </si>
  <si>
    <t>Presupuesto 2022</t>
  </si>
  <si>
    <t>PRESUPUESTO 2022</t>
  </si>
  <si>
    <t>1.1.    Cuota Común Parroquial  (parroquias y cementerios)</t>
  </si>
  <si>
    <t xml:space="preserve">5.3.    Subvenciones Explotación (Parroquias) </t>
  </si>
  <si>
    <t>5.4.    Otras Subvenciones (Institutos Diocesanos)</t>
  </si>
  <si>
    <t>5.5.    C.E.E. - Devolución IGIC</t>
  </si>
  <si>
    <t>5.6.    Convenio Obra Social Bankia / P. Penitenciaria</t>
  </si>
  <si>
    <t>6.3.       Subvenciones Explotación (Secretariados y Delegaciones)</t>
  </si>
  <si>
    <t>6.4.       Subvenciones Explotación (Institutos Diocesanos)</t>
  </si>
  <si>
    <t>6.5.       Subvenciones Explotación Parroquias</t>
  </si>
  <si>
    <t>6.6.       Rehabilitación Casa de la Iglesia</t>
  </si>
  <si>
    <t>6.8.       C.E.E. - Devolución IGIC</t>
  </si>
  <si>
    <t>6.9.       Convenio Obra Social Bankia / P. Penitenciaria</t>
  </si>
  <si>
    <t>6.10.     Centro Pastoral Fuerteventura</t>
  </si>
  <si>
    <t>5.7 .   Otros Ingresos</t>
  </si>
  <si>
    <t>5.8.    Aportación Fondos Propios</t>
  </si>
  <si>
    <t>5.9     Necesidad de financiación</t>
  </si>
  <si>
    <t>Consolidado 2021 OFICIAL</t>
  </si>
  <si>
    <r>
      <t xml:space="preserve">Consolidado 2022 </t>
    </r>
    <r>
      <rPr>
        <b/>
        <i/>
        <sz val="10"/>
        <rFont val="Arial"/>
        <family val="2"/>
      </rPr>
      <t>Provisional</t>
    </r>
    <r>
      <rPr>
        <b/>
        <sz val="10"/>
        <rFont val="Arial"/>
        <family val="2"/>
      </rPr>
      <t xml:space="preserve"> al 31 de diciembre </t>
    </r>
  </si>
  <si>
    <t>Presupuesto 2023</t>
  </si>
  <si>
    <t>1.7.        Plan Diocesano Pastoral</t>
  </si>
  <si>
    <t>1.4.4.    Aportación Diócesis Cuota Misionera - Canon 791</t>
  </si>
  <si>
    <t>1.6.        Vicaría Fuerteventura - Lanzarote</t>
  </si>
  <si>
    <t>3.4.    Alquileres Obispado</t>
  </si>
  <si>
    <t xml:space="preserve">6.12.     Otros </t>
  </si>
  <si>
    <t>6.13      Capacidad de Financiación</t>
  </si>
  <si>
    <t>6.11.     Rehabilitación Parroquias</t>
  </si>
  <si>
    <t>1.3.8.    Comisión Sostenimiento de la Iglesia</t>
  </si>
  <si>
    <t>1.3.9.    Comisión para la protección de menores</t>
  </si>
  <si>
    <t>1.3.10.  Otros gastos de administración</t>
  </si>
  <si>
    <t>6.7.       Rehabilitación Lomo Cementerio Telde</t>
  </si>
  <si>
    <t>3.17.  Exequias</t>
  </si>
  <si>
    <t xml:space="preserve">3.18.  Otros </t>
  </si>
  <si>
    <t>1.5.13.  Exequias</t>
  </si>
  <si>
    <t>1.5.14.  Palacio Episcopal</t>
  </si>
  <si>
    <t>3.7.    Alquileres de Parroquias</t>
  </si>
  <si>
    <t>1.2.20.   Secretariado de Migraciones y Refugiados</t>
  </si>
  <si>
    <t>1.2.21.   Vida Ascendente</t>
  </si>
  <si>
    <t>1.2.22.   A.C. General de Adultos (ACGA)</t>
  </si>
  <si>
    <t>1.2.23.   Fraternidad C. De Enfermos (FRATER)</t>
  </si>
  <si>
    <t>1.2.24.   Hermandad Obrera de A.C. (HOAC)</t>
  </si>
  <si>
    <t>1.2.25.   Juventud Obrera Cristiana (JOC)</t>
  </si>
  <si>
    <t>1.2.26.   Casa de la Iglesia</t>
  </si>
  <si>
    <t>1.2.27.   Centro Pastoral de Tafira</t>
  </si>
  <si>
    <t>1.2.28.   Centro Pastoral de Telde</t>
  </si>
  <si>
    <t>1.2.29.   Delegación de Enseñanza</t>
  </si>
  <si>
    <t>1.2.30.   Diversos Acontecimientos Diocesanos</t>
  </si>
  <si>
    <t xml:space="preserve">1.2.31.   Secretaría General de Pastoral </t>
  </si>
  <si>
    <t>1.2.32.   Radio Tamaraceite</t>
  </si>
  <si>
    <t>1.2.33.   Otros gastos</t>
  </si>
  <si>
    <t xml:space="preserve">1.2.6.     Secretariado de Catequesis </t>
  </si>
  <si>
    <t>,</t>
  </si>
  <si>
    <t xml:space="preserve">1.5.15.  Cancillería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</si>
</sst>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%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s&quot;"/>
    <numFmt numFmtId="184" formatCode="#,##0.000"/>
    <numFmt numFmtId="185" formatCode="#,##0.000;[Red]#,##0.000"/>
    <numFmt numFmtId="186" formatCode="0.0000%"/>
    <numFmt numFmtId="187" formatCode="0.00000%"/>
    <numFmt numFmtId="188" formatCode="_-* #,##0.00\ [$€]_-;\-* #,##0.00\ [$€]_-;_-* &quot;-&quot;??\ [$€]_-;_-@_-"/>
    <numFmt numFmtId="189" formatCode="#,##0.00_ ;\-#,##0.00\ "/>
  </numFmts>
  <fonts count="88">
    <font>
      <sz val="10"/>
      <name val="Arial"/>
      <family val="0"/>
    </font>
    <font>
      <b/>
      <sz val="18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8"/>
      <color indexed="6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6"/>
      <color indexed="18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11.5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sz val="2"/>
      <color indexed="24"/>
      <name val="Arial"/>
      <family val="0"/>
    </font>
    <font>
      <sz val="2"/>
      <color indexed="25"/>
      <name val="Arial"/>
      <family val="0"/>
    </font>
    <font>
      <b/>
      <sz val="2"/>
      <color indexed="25"/>
      <name val="Arial"/>
      <family val="0"/>
    </font>
    <font>
      <sz val="1.1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99"/>
      <name val="Arial"/>
      <family val="2"/>
    </font>
    <font>
      <b/>
      <sz val="14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4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b/>
      <sz val="18"/>
      <color theme="4"/>
      <name val="Arial"/>
      <family val="2"/>
    </font>
    <font>
      <b/>
      <i/>
      <sz val="14"/>
      <color rgb="FF000099"/>
      <name val="Arial"/>
      <family val="2"/>
    </font>
    <font>
      <b/>
      <sz val="26"/>
      <color rgb="FFFF0000"/>
      <name val="Arial"/>
      <family val="2"/>
    </font>
    <font>
      <b/>
      <i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8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3" fontId="2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17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left"/>
    </xf>
    <xf numFmtId="4" fontId="3" fillId="0" borderId="19" xfId="0" applyNumberFormat="1" applyFont="1" applyFill="1" applyBorder="1" applyAlignment="1" quotePrefix="1">
      <alignment horizontal="right"/>
    </xf>
    <xf numFmtId="0" fontId="2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174" fontId="16" fillId="33" borderId="2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3" fillId="0" borderId="22" xfId="0" applyNumberFormat="1" applyFont="1" applyFill="1" applyBorder="1" applyAlignment="1" quotePrefix="1">
      <alignment horizontal="right"/>
    </xf>
    <xf numFmtId="0" fontId="2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 quotePrefix="1">
      <alignment horizontal="right"/>
    </xf>
    <xf numFmtId="0" fontId="4" fillId="0" borderId="24" xfId="0" applyFont="1" applyFill="1" applyBorder="1" applyAlignment="1" quotePrefix="1">
      <alignment horizontal="left"/>
    </xf>
    <xf numFmtId="0" fontId="15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4" fillId="0" borderId="23" xfId="0" applyFont="1" applyFill="1" applyBorder="1" applyAlignment="1" quotePrefix="1">
      <alignment horizontal="left"/>
    </xf>
    <xf numFmtId="0" fontId="3" fillId="0" borderId="23" xfId="0" applyFont="1" applyFill="1" applyBorder="1" applyAlignment="1" quotePrefix="1">
      <alignment horizontal="left"/>
    </xf>
    <xf numFmtId="0" fontId="2" fillId="33" borderId="25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33" borderId="19" xfId="0" applyFont="1" applyFill="1" applyBorder="1" applyAlignment="1" quotePrefix="1">
      <alignment horizontal="left" vertical="center"/>
    </xf>
    <xf numFmtId="0" fontId="5" fillId="34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3" fillId="0" borderId="28" xfId="0" applyNumberFormat="1" applyFont="1" applyFill="1" applyBorder="1" applyAlignment="1" quotePrefix="1">
      <alignment horizontal="righ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 quotePrefix="1">
      <alignment horizontal="right" vertical="center"/>
    </xf>
    <xf numFmtId="4" fontId="2" fillId="0" borderId="0" xfId="0" applyNumberFormat="1" applyFont="1" applyFill="1" applyAlignment="1">
      <alignment/>
    </xf>
    <xf numFmtId="4" fontId="4" fillId="34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/>
    </xf>
    <xf numFmtId="4" fontId="4" fillId="35" borderId="19" xfId="0" applyNumberFormat="1" applyFont="1" applyFill="1" applyBorder="1" applyAlignment="1">
      <alignment horizontal="right" vertical="center"/>
    </xf>
    <xf numFmtId="4" fontId="21" fillId="0" borderId="15" xfId="0" applyNumberFormat="1" applyFont="1" applyFill="1" applyBorder="1" applyAlignment="1" quotePrefix="1">
      <alignment horizontal="right"/>
    </xf>
    <xf numFmtId="10" fontId="21" fillId="0" borderId="15" xfId="0" applyNumberFormat="1" applyFont="1" applyFill="1" applyBorder="1" applyAlignment="1" quotePrefix="1">
      <alignment horizontal="right"/>
    </xf>
    <xf numFmtId="0" fontId="6" fillId="0" borderId="24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5" fillId="34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quotePrefix="1">
      <alignment vertical="center"/>
    </xf>
    <xf numFmtId="0" fontId="6" fillId="0" borderId="18" xfId="0" applyFont="1" applyFill="1" applyBorder="1" applyAlignment="1" quotePrefix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quotePrefix="1">
      <alignment vertical="center" wrapText="1"/>
    </xf>
    <xf numFmtId="0" fontId="5" fillId="33" borderId="19" xfId="0" applyFont="1" applyFill="1" applyBorder="1" applyAlignment="1" quotePrefix="1">
      <alignment horizontal="left" vertical="center" wrapText="1"/>
    </xf>
    <xf numFmtId="0" fontId="13" fillId="34" borderId="27" xfId="0" applyFont="1" applyFill="1" applyBorder="1" applyAlignment="1" quotePrefix="1">
      <alignment horizontal="left" vertical="center"/>
    </xf>
    <xf numFmtId="0" fontId="14" fillId="34" borderId="19" xfId="0" applyFont="1" applyFill="1" applyBorder="1" applyAlignment="1" quotePrefix="1">
      <alignment horizontal="left" vertical="center"/>
    </xf>
    <xf numFmtId="0" fontId="6" fillId="0" borderId="18" xfId="0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 quotePrefix="1">
      <alignment horizontal="left" vertical="center"/>
    </xf>
    <xf numFmtId="4" fontId="7" fillId="0" borderId="18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 quotePrefix="1">
      <alignment horizontal="left" vertical="center" wrapTex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3" fillId="0" borderId="28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14" fillId="0" borderId="23" xfId="0" applyFont="1" applyFill="1" applyBorder="1" applyAlignment="1" quotePrefix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 quotePrefix="1">
      <alignment horizontal="left"/>
    </xf>
    <xf numFmtId="0" fontId="6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 quotePrefix="1">
      <alignment horizontal="left"/>
    </xf>
    <xf numFmtId="0" fontId="2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23" fillId="35" borderId="19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29" fillId="35" borderId="19" xfId="0" applyFont="1" applyFill="1" applyBorder="1" applyAlignment="1">
      <alignment horizontal="left" vertical="center"/>
    </xf>
    <xf numFmtId="0" fontId="24" fillId="35" borderId="19" xfId="0" applyFont="1" applyFill="1" applyBorder="1" applyAlignment="1">
      <alignment horizontal="right" vertical="center"/>
    </xf>
    <xf numFmtId="0" fontId="30" fillId="33" borderId="19" xfId="0" applyFont="1" applyFill="1" applyBorder="1" applyAlignment="1" quotePrefix="1">
      <alignment horizontal="left" vertical="center"/>
    </xf>
    <xf numFmtId="4" fontId="23" fillId="0" borderId="19" xfId="0" applyNumberFormat="1" applyFont="1" applyFill="1" applyBorder="1" applyAlignment="1" quotePrefix="1">
      <alignment horizontal="right"/>
    </xf>
    <xf numFmtId="10" fontId="23" fillId="0" borderId="19" xfId="0" applyNumberFormat="1" applyFont="1" applyFill="1" applyBorder="1" applyAlignment="1" quotePrefix="1">
      <alignment horizontal="right"/>
    </xf>
    <xf numFmtId="0" fontId="6" fillId="36" borderId="15" xfId="0" applyFont="1" applyFill="1" applyBorder="1" applyAlignment="1">
      <alignment/>
    </xf>
    <xf numFmtId="4" fontId="6" fillId="36" borderId="17" xfId="0" applyNumberFormat="1" applyFont="1" applyFill="1" applyBorder="1" applyAlignment="1">
      <alignment horizontal="right"/>
    </xf>
    <xf numFmtId="4" fontId="6" fillId="36" borderId="29" xfId="0" applyNumberFormat="1" applyFont="1" applyFill="1" applyBorder="1" applyAlignment="1">
      <alignment horizontal="right" vertical="center"/>
    </xf>
    <xf numFmtId="4" fontId="6" fillId="36" borderId="15" xfId="0" applyNumberFormat="1" applyFont="1" applyFill="1" applyBorder="1" applyAlignment="1">
      <alignment horizontal="right"/>
    </xf>
    <xf numFmtId="4" fontId="6" fillId="36" borderId="15" xfId="0" applyNumberFormat="1" applyFont="1" applyFill="1" applyBorder="1" applyAlignment="1">
      <alignment horizontal="right" vertical="center"/>
    </xf>
    <xf numFmtId="4" fontId="6" fillId="36" borderId="24" xfId="0" applyNumberFormat="1" applyFont="1" applyFill="1" applyBorder="1" applyAlignment="1">
      <alignment horizontal="right" vertical="center"/>
    </xf>
    <xf numFmtId="4" fontId="6" fillId="36" borderId="17" xfId="0" applyNumberFormat="1" applyFont="1" applyFill="1" applyBorder="1" applyAlignment="1">
      <alignment horizontal="right" vertical="center"/>
    </xf>
    <xf numFmtId="4" fontId="6" fillId="36" borderId="29" xfId="0" applyNumberFormat="1" applyFont="1" applyFill="1" applyBorder="1" applyAlignment="1">
      <alignment horizontal="right"/>
    </xf>
    <xf numFmtId="4" fontId="6" fillId="36" borderId="24" xfId="0" applyNumberFormat="1" applyFont="1" applyFill="1" applyBorder="1" applyAlignment="1">
      <alignment horizontal="right"/>
    </xf>
    <xf numFmtId="4" fontId="6" fillId="36" borderId="18" xfId="0" applyNumberFormat="1" applyFont="1" applyFill="1" applyBorder="1" applyAlignment="1">
      <alignment vertical="center"/>
    </xf>
    <xf numFmtId="4" fontId="6" fillId="36" borderId="18" xfId="0" applyNumberFormat="1" applyFont="1" applyFill="1" applyBorder="1" applyAlignment="1">
      <alignment horizontal="right"/>
    </xf>
    <xf numFmtId="0" fontId="6" fillId="0" borderId="16" xfId="0" applyFont="1" applyFill="1" applyBorder="1" applyAlignment="1" quotePrefix="1">
      <alignment vertical="center"/>
    </xf>
    <xf numFmtId="0" fontId="6" fillId="0" borderId="17" xfId="0" applyFont="1" applyFill="1" applyBorder="1" applyAlignment="1" quotePrefix="1">
      <alignment vertical="center"/>
    </xf>
    <xf numFmtId="0" fontId="17" fillId="0" borderId="0" xfId="0" applyFont="1" applyFill="1" applyAlignment="1">
      <alignment horizontal="center"/>
    </xf>
    <xf numFmtId="4" fontId="6" fillId="36" borderId="21" xfId="0" applyNumberFormat="1" applyFont="1" applyFill="1" applyBorder="1" applyAlignment="1">
      <alignment horizontal="right" vertical="center"/>
    </xf>
    <xf numFmtId="4" fontId="6" fillId="36" borderId="18" xfId="0" applyNumberFormat="1" applyFont="1" applyFill="1" applyBorder="1" applyAlignment="1">
      <alignment horizontal="right" vertical="center"/>
    </xf>
    <xf numFmtId="4" fontId="6" fillId="36" borderId="24" xfId="0" applyNumberFormat="1" applyFont="1" applyFill="1" applyBorder="1" applyAlignment="1">
      <alignment vertical="center"/>
    </xf>
    <xf numFmtId="4" fontId="6" fillId="36" borderId="15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6" fillId="36" borderId="20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 quotePrefix="1">
      <alignment horizontal="right" vertical="center"/>
    </xf>
    <xf numFmtId="4" fontId="3" fillId="34" borderId="19" xfId="0" applyNumberFormat="1" applyFont="1" applyFill="1" applyBorder="1" applyAlignment="1" quotePrefix="1">
      <alignment horizontal="right" vertical="center"/>
    </xf>
    <xf numFmtId="4" fontId="77" fillId="0" borderId="15" xfId="0" applyNumberFormat="1" applyFont="1" applyFill="1" applyBorder="1" applyAlignment="1" quotePrefix="1">
      <alignment horizontal="right"/>
    </xf>
    <xf numFmtId="10" fontId="77" fillId="0" borderId="15" xfId="0" applyNumberFormat="1" applyFont="1" applyFill="1" applyBorder="1" applyAlignment="1" quotePrefix="1">
      <alignment horizontal="right"/>
    </xf>
    <xf numFmtId="4" fontId="22" fillId="0" borderId="15" xfId="0" applyNumberFormat="1" applyFont="1" applyFill="1" applyBorder="1" applyAlignment="1" quotePrefix="1">
      <alignment horizontal="right"/>
    </xf>
    <xf numFmtId="10" fontId="22" fillId="0" borderId="15" xfId="0" applyNumberFormat="1" applyFont="1" applyFill="1" applyBorder="1" applyAlignment="1" quotePrefix="1">
      <alignment horizontal="right"/>
    </xf>
    <xf numFmtId="4" fontId="78" fillId="0" borderId="17" xfId="0" applyNumberFormat="1" applyFont="1" applyFill="1" applyBorder="1" applyAlignment="1">
      <alignment horizontal="right"/>
    </xf>
    <xf numFmtId="10" fontId="78" fillId="0" borderId="17" xfId="0" applyNumberFormat="1" applyFont="1" applyFill="1" applyBorder="1" applyAlignment="1">
      <alignment horizontal="right"/>
    </xf>
    <xf numFmtId="4" fontId="78" fillId="0" borderId="18" xfId="0" applyNumberFormat="1" applyFont="1" applyFill="1" applyBorder="1" applyAlignment="1" quotePrefix="1">
      <alignment horizontal="right"/>
    </xf>
    <xf numFmtId="10" fontId="78" fillId="0" borderId="18" xfId="0" applyNumberFormat="1" applyFont="1" applyFill="1" applyBorder="1" applyAlignment="1" quotePrefix="1">
      <alignment horizontal="right"/>
    </xf>
    <xf numFmtId="4" fontId="6" fillId="0" borderId="2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36" borderId="23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 vertical="center"/>
    </xf>
    <xf numFmtId="4" fontId="79" fillId="34" borderId="19" xfId="0" applyNumberFormat="1" applyFont="1" applyFill="1" applyBorder="1" applyAlignment="1" quotePrefix="1">
      <alignment horizontal="right" vertical="center"/>
    </xf>
    <xf numFmtId="4" fontId="22" fillId="0" borderId="17" xfId="0" applyNumberFormat="1" applyFont="1" applyFill="1" applyBorder="1" applyAlignment="1">
      <alignment horizontal="right"/>
    </xf>
    <xf numFmtId="10" fontId="22" fillId="0" borderId="17" xfId="0" applyNumberFormat="1" applyFont="1" applyFill="1" applyBorder="1" applyAlignment="1">
      <alignment horizontal="right"/>
    </xf>
    <xf numFmtId="4" fontId="22" fillId="0" borderId="18" xfId="0" applyNumberFormat="1" applyFont="1" applyFill="1" applyBorder="1" applyAlignment="1" quotePrefix="1">
      <alignment horizontal="right"/>
    </xf>
    <xf numFmtId="10" fontId="22" fillId="0" borderId="18" xfId="0" applyNumberFormat="1" applyFont="1" applyFill="1" applyBorder="1" applyAlignment="1" quotePrefix="1">
      <alignment horizontal="right"/>
    </xf>
    <xf numFmtId="10" fontId="3" fillId="0" borderId="19" xfId="0" applyNumberFormat="1" applyFont="1" applyFill="1" applyBorder="1" applyAlignment="1" quotePrefix="1">
      <alignment horizontal="right"/>
    </xf>
    <xf numFmtId="4" fontId="78" fillId="0" borderId="15" xfId="0" applyNumberFormat="1" applyFont="1" applyFill="1" applyBorder="1" applyAlignment="1" quotePrefix="1">
      <alignment horizontal="right"/>
    </xf>
    <xf numFmtId="10" fontId="78" fillId="0" borderId="15" xfId="0" applyNumberFormat="1" applyFont="1" applyFill="1" applyBorder="1" applyAlignment="1" quotePrefix="1">
      <alignment horizontal="right"/>
    </xf>
    <xf numFmtId="4" fontId="80" fillId="0" borderId="17" xfId="0" applyNumberFormat="1" applyFont="1" applyFill="1" applyBorder="1" applyAlignment="1">
      <alignment horizontal="right"/>
    </xf>
    <xf numFmtId="4" fontId="80" fillId="0" borderId="15" xfId="0" applyNumberFormat="1" applyFont="1" applyFill="1" applyBorder="1" applyAlignment="1" quotePrefix="1">
      <alignment horizontal="right"/>
    </xf>
    <xf numFmtId="4" fontId="80" fillId="0" borderId="18" xfId="0" applyNumberFormat="1" applyFont="1" applyFill="1" applyBorder="1" applyAlignment="1" quotePrefix="1">
      <alignment horizontal="right"/>
    </xf>
    <xf numFmtId="0" fontId="81" fillId="0" borderId="0" xfId="0" applyFont="1" applyAlignment="1">
      <alignment/>
    </xf>
    <xf numFmtId="4" fontId="82" fillId="0" borderId="31" xfId="0" applyNumberFormat="1" applyFont="1" applyFill="1" applyBorder="1" applyAlignment="1" quotePrefix="1">
      <alignment horizontal="right"/>
    </xf>
    <xf numFmtId="4" fontId="82" fillId="0" borderId="19" xfId="0" applyNumberFormat="1" applyFont="1" applyFill="1" applyBorder="1" applyAlignment="1" quotePrefix="1">
      <alignment horizontal="right"/>
    </xf>
    <xf numFmtId="4" fontId="83" fillId="0" borderId="15" xfId="0" applyNumberFormat="1" applyFont="1" applyFill="1" applyBorder="1" applyAlignment="1">
      <alignment horizontal="right"/>
    </xf>
    <xf numFmtId="0" fontId="6" fillId="0" borderId="28" xfId="0" applyFont="1" applyFill="1" applyBorder="1" applyAlignment="1" quotePrefix="1">
      <alignment vertical="center"/>
    </xf>
    <xf numFmtId="0" fontId="3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1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1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2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2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3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Ingresos'!#REF!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Ingresos'!#REF!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56960318"/>
        <c:axId val="42880815"/>
      </c:barChart>
      <c:catAx>
        <c:axId val="5696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42880815"/>
        <c:crosses val="autoZero"/>
        <c:auto val="1"/>
        <c:lblOffset val="100"/>
        <c:tickLblSkip val="1"/>
        <c:noMultiLvlLbl val="0"/>
      </c:catAx>
      <c:valAx>
        <c:axId val="4288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6960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1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1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2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2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3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Gastos'!#REF!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'Resumen Gastos'!#REF!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50383016"/>
        <c:axId val="50793961"/>
      </c:barChart>
      <c:catAx>
        <c:axId val="50383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0793961"/>
        <c:crosses val="autoZero"/>
        <c:auto val="1"/>
        <c:lblOffset val="100"/>
        <c:tickLblSkip val="1"/>
        <c:noMultiLvlLbl val="0"/>
      </c:catAx>
      <c:valAx>
        <c:axId val="5079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0383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885825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05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108</xdr:row>
      <xdr:rowOff>0</xdr:rowOff>
    </xdr:from>
    <xdr:to>
      <xdr:col>13</xdr:col>
      <xdr:colOff>276225</xdr:colOff>
      <xdr:row>108</xdr:row>
      <xdr:rowOff>76200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174075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9</xdr:col>
      <xdr:colOff>466725</xdr:colOff>
      <xdr:row>108</xdr:row>
      <xdr:rowOff>76200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9</xdr:col>
      <xdr:colOff>466725</xdr:colOff>
      <xdr:row>108</xdr:row>
      <xdr:rowOff>76200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9</xdr:col>
      <xdr:colOff>466725</xdr:colOff>
      <xdr:row>108</xdr:row>
      <xdr:rowOff>76200</xdr:rowOff>
    </xdr:to>
    <xdr:pic>
      <xdr:nvPicPr>
        <xdr:cNvPr id="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9</xdr:col>
      <xdr:colOff>466725</xdr:colOff>
      <xdr:row>108</xdr:row>
      <xdr:rowOff>76200</xdr:rowOff>
    </xdr:to>
    <xdr:pic>
      <xdr:nvPicPr>
        <xdr:cNvPr id="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6</xdr:col>
      <xdr:colOff>0</xdr:colOff>
      <xdr:row>108</xdr:row>
      <xdr:rowOff>76200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6</xdr:col>
      <xdr:colOff>0</xdr:colOff>
      <xdr:row>108</xdr:row>
      <xdr:rowOff>76200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6</xdr:col>
      <xdr:colOff>0</xdr:colOff>
      <xdr:row>108</xdr:row>
      <xdr:rowOff>76200</xdr:rowOff>
    </xdr:to>
    <xdr:pic>
      <xdr:nvPicPr>
        <xdr:cNvPr id="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6</xdr:col>
      <xdr:colOff>0</xdr:colOff>
      <xdr:row>108</xdr:row>
      <xdr:rowOff>76200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6</xdr:col>
      <xdr:colOff>0</xdr:colOff>
      <xdr:row>108</xdr:row>
      <xdr:rowOff>76200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174075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27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1" customWidth="1"/>
    <col min="2" max="2" width="64.28125" style="1" customWidth="1"/>
    <col min="3" max="3" width="18.7109375" style="86" customWidth="1"/>
    <col min="4" max="4" width="1.28515625" style="1" customWidth="1"/>
    <col min="5" max="5" width="18.7109375" style="86" customWidth="1"/>
    <col min="6" max="6" width="0.71875" style="8" customWidth="1"/>
    <col min="7" max="7" width="18.7109375" style="86" customWidth="1"/>
    <col min="8" max="8" width="0.2890625" style="20" hidden="1" customWidth="1"/>
    <col min="9" max="9" width="0.71875" style="20" customWidth="1"/>
    <col min="10" max="10" width="18.7109375" style="86" customWidth="1"/>
    <col min="11" max="16384" width="11.421875" style="1" customWidth="1"/>
  </cols>
  <sheetData>
    <row r="1" spans="1:10" s="68" customFormat="1" ht="30">
      <c r="A1" s="266" t="s">
        <v>15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s="68" customFormat="1" ht="15.75" customHeight="1">
      <c r="A2" s="267" t="s">
        <v>96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9" ht="4.5" customHeight="1">
      <c r="A3" s="32"/>
      <c r="B3" s="32"/>
      <c r="D3" s="32"/>
      <c r="F3" s="105"/>
      <c r="H3" s="1"/>
      <c r="I3" s="1"/>
    </row>
    <row r="4" spans="1:10" ht="26.2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</row>
    <row r="5" spans="2:10" ht="23.25">
      <c r="B5" s="271" t="s">
        <v>126</v>
      </c>
      <c r="C5" s="271"/>
      <c r="D5" s="271"/>
      <c r="E5" s="271"/>
      <c r="F5" s="271"/>
      <c r="G5" s="271"/>
      <c r="H5" s="271"/>
      <c r="I5" s="271"/>
      <c r="J5" s="271"/>
    </row>
    <row r="6" spans="2:10" ht="12" customHeight="1" thickBot="1">
      <c r="B6" s="8"/>
      <c r="C6" s="87"/>
      <c r="D6" s="8"/>
      <c r="E6" s="87"/>
      <c r="G6" s="87"/>
      <c r="J6" s="87"/>
    </row>
    <row r="7" spans="2:12" ht="23.25" customHeight="1">
      <c r="B7" s="21" t="s">
        <v>29</v>
      </c>
      <c r="C7" s="269" t="s">
        <v>185</v>
      </c>
      <c r="D7" s="166"/>
      <c r="E7" s="269" t="s">
        <v>168</v>
      </c>
      <c r="F7" s="140"/>
      <c r="G7" s="269" t="s">
        <v>186</v>
      </c>
      <c r="H7" s="25"/>
      <c r="I7" s="134"/>
      <c r="J7" s="269" t="s">
        <v>187</v>
      </c>
      <c r="K7" s="12"/>
      <c r="L7" s="12"/>
    </row>
    <row r="8" spans="2:10" ht="16.5" customHeight="1" thickBot="1">
      <c r="B8" s="130"/>
      <c r="C8" s="270"/>
      <c r="D8" s="167"/>
      <c r="E8" s="270"/>
      <c r="F8" s="141"/>
      <c r="G8" s="270"/>
      <c r="H8" s="25"/>
      <c r="I8" s="134"/>
      <c r="J8" s="270"/>
    </row>
    <row r="9" spans="2:10" s="32" customFormat="1" ht="21" customHeight="1" thickBot="1">
      <c r="B9" s="76" t="s">
        <v>11</v>
      </c>
      <c r="C9" s="88">
        <f>SUM(C11:C21)</f>
        <v>823470.32</v>
      </c>
      <c r="D9" s="168"/>
      <c r="E9" s="88">
        <f>SUM(E11:E21)</f>
        <v>800350</v>
      </c>
      <c r="F9" s="142"/>
      <c r="G9" s="88">
        <f>SUM(G11:G21)</f>
        <v>825437.59</v>
      </c>
      <c r="H9" s="36"/>
      <c r="I9" s="36"/>
      <c r="J9" s="88">
        <f>SUM(J11:J21)</f>
        <v>912985</v>
      </c>
    </row>
    <row r="10" spans="2:10" s="8" customFormat="1" ht="5.25" customHeight="1" thickBot="1">
      <c r="B10" s="22"/>
      <c r="C10" s="19"/>
      <c r="D10" s="31"/>
      <c r="E10" s="19"/>
      <c r="F10" s="31"/>
      <c r="G10" s="19"/>
      <c r="H10" s="9"/>
      <c r="I10" s="9"/>
      <c r="J10" s="19"/>
    </row>
    <row r="11" spans="2:10" ht="14.25">
      <c r="B11" s="221" t="s">
        <v>170</v>
      </c>
      <c r="C11" s="215">
        <f>450771.45+69750.56</f>
        <v>520522.01</v>
      </c>
      <c r="D11" s="220"/>
      <c r="E11" s="114">
        <v>510000</v>
      </c>
      <c r="F11" s="135"/>
      <c r="G11" s="241">
        <f>552711.49+50978.09</f>
        <v>603689.58</v>
      </c>
      <c r="H11" s="115"/>
      <c r="I11" s="115"/>
      <c r="J11" s="114">
        <v>607000</v>
      </c>
    </row>
    <row r="12" spans="2:10" ht="14.25">
      <c r="B12" s="102" t="s">
        <v>164</v>
      </c>
      <c r="C12" s="211">
        <f>108157.22+5000</f>
        <v>113157.22</v>
      </c>
      <c r="D12" s="220"/>
      <c r="E12" s="116">
        <v>100000</v>
      </c>
      <c r="F12" s="135"/>
      <c r="G12" s="242">
        <v>23603.18</v>
      </c>
      <c r="H12" s="115"/>
      <c r="I12" s="115"/>
      <c r="J12" s="212">
        <v>114000</v>
      </c>
    </row>
    <row r="13" spans="2:10" ht="14.25">
      <c r="B13" s="102" t="s">
        <v>166</v>
      </c>
      <c r="C13" s="213">
        <v>22604.85</v>
      </c>
      <c r="D13" s="220"/>
      <c r="E13" s="116">
        <v>22600</v>
      </c>
      <c r="F13" s="135"/>
      <c r="G13" s="242">
        <v>25817.36</v>
      </c>
      <c r="H13" s="115"/>
      <c r="I13" s="115"/>
      <c r="J13" s="116">
        <v>25900</v>
      </c>
    </row>
    <row r="14" spans="2:10" ht="14.25" customHeight="1">
      <c r="B14" s="102" t="s">
        <v>156</v>
      </c>
      <c r="C14" s="213">
        <v>648</v>
      </c>
      <c r="D14" s="220"/>
      <c r="E14" s="117">
        <v>0</v>
      </c>
      <c r="F14" s="135"/>
      <c r="G14" s="242">
        <v>0</v>
      </c>
      <c r="H14" s="118"/>
      <c r="I14" s="118"/>
      <c r="J14" s="117">
        <v>0</v>
      </c>
    </row>
    <row r="15" spans="2:10" ht="14.25">
      <c r="B15" s="102" t="s">
        <v>157</v>
      </c>
      <c r="C15" s="213">
        <f>53564.2+1600</f>
        <v>55164.2</v>
      </c>
      <c r="D15" s="220"/>
      <c r="E15" s="116">
        <v>56000</v>
      </c>
      <c r="F15" s="135"/>
      <c r="G15" s="242">
        <f>57132.35+1500</f>
        <v>58632.35</v>
      </c>
      <c r="H15" s="115"/>
      <c r="I15" s="115"/>
      <c r="J15" s="116">
        <v>59000</v>
      </c>
    </row>
    <row r="16" spans="2:10" ht="14.25">
      <c r="B16" s="102" t="s">
        <v>158</v>
      </c>
      <c r="C16" s="213">
        <v>70885.65</v>
      </c>
      <c r="D16" s="220"/>
      <c r="E16" s="117">
        <v>71500</v>
      </c>
      <c r="F16" s="135"/>
      <c r="G16" s="242">
        <v>69685.3</v>
      </c>
      <c r="H16" s="118"/>
      <c r="I16" s="118"/>
      <c r="J16" s="117">
        <v>69700</v>
      </c>
    </row>
    <row r="17" spans="2:10" ht="14.25">
      <c r="B17" s="102" t="s">
        <v>159</v>
      </c>
      <c r="C17" s="213">
        <f>10155.44+37.31+500+128.47</f>
        <v>10821.22</v>
      </c>
      <c r="D17" s="220"/>
      <c r="E17" s="116">
        <v>11000</v>
      </c>
      <c r="F17" s="135"/>
      <c r="G17" s="242">
        <f>2616.13+219.36+1350.18+1239.35</f>
        <v>5425.02</v>
      </c>
      <c r="H17" s="115"/>
      <c r="I17" s="115"/>
      <c r="J17" s="116">
        <v>6000</v>
      </c>
    </row>
    <row r="18" spans="2:10" ht="14.25">
      <c r="B18" s="102" t="s">
        <v>160</v>
      </c>
      <c r="C18" s="214">
        <v>11544.24</v>
      </c>
      <c r="D18" s="220"/>
      <c r="E18" s="121">
        <v>11500</v>
      </c>
      <c r="F18" s="135"/>
      <c r="G18" s="243">
        <v>11887</v>
      </c>
      <c r="H18" s="115"/>
      <c r="I18" s="115"/>
      <c r="J18" s="121">
        <v>11900</v>
      </c>
    </row>
    <row r="19" spans="2:10" ht="14.25">
      <c r="B19" s="102" t="s">
        <v>161</v>
      </c>
      <c r="C19" s="214">
        <v>1301.25</v>
      </c>
      <c r="D19" s="220"/>
      <c r="E19" s="121">
        <v>2500</v>
      </c>
      <c r="F19" s="135"/>
      <c r="G19" s="243">
        <v>175.2</v>
      </c>
      <c r="H19" s="115"/>
      <c r="I19" s="115"/>
      <c r="J19" s="121">
        <v>1000</v>
      </c>
    </row>
    <row r="20" spans="2:10" ht="14.25">
      <c r="B20" s="102" t="s">
        <v>163</v>
      </c>
      <c r="C20" s="214">
        <v>11244.76</v>
      </c>
      <c r="D20" s="220"/>
      <c r="E20" s="121">
        <v>11250</v>
      </c>
      <c r="F20" s="135"/>
      <c r="G20" s="243">
        <v>19965.25</v>
      </c>
      <c r="H20" s="115"/>
      <c r="I20" s="115"/>
      <c r="J20" s="121">
        <v>11485</v>
      </c>
    </row>
    <row r="21" spans="2:10" ht="15" thickBot="1">
      <c r="B21" s="103" t="s">
        <v>162</v>
      </c>
      <c r="C21" s="224">
        <f>1809.88+3767.04</f>
        <v>5576.92</v>
      </c>
      <c r="D21" s="220"/>
      <c r="E21" s="119">
        <v>4000</v>
      </c>
      <c r="F21" s="135"/>
      <c r="G21" s="244">
        <f>1073.21+5484.14</f>
        <v>6557.35</v>
      </c>
      <c r="H21" s="115"/>
      <c r="I21" s="115"/>
      <c r="J21" s="119">
        <v>7000</v>
      </c>
    </row>
    <row r="22" spans="2:10" s="8" customFormat="1" ht="11.25" customHeight="1" thickBot="1">
      <c r="B22" s="23"/>
      <c r="C22" s="17"/>
      <c r="D22" s="30"/>
      <c r="E22" s="17"/>
      <c r="F22" s="30"/>
      <c r="G22" s="17"/>
      <c r="H22" s="5"/>
      <c r="I22" s="5"/>
      <c r="J22" s="17"/>
    </row>
    <row r="23" spans="2:10" s="69" customFormat="1" ht="32.25" thickBot="1">
      <c r="B23" s="109" t="s">
        <v>16</v>
      </c>
      <c r="C23" s="89">
        <f>SUM(C25:C28)</f>
        <v>3236334.7100000004</v>
      </c>
      <c r="D23" s="169"/>
      <c r="E23" s="89">
        <f>SUM(E25:E28)</f>
        <v>3365080</v>
      </c>
      <c r="F23" s="143"/>
      <c r="G23" s="89">
        <f>SUM(G25:G28)</f>
        <v>3337845.0699999994</v>
      </c>
      <c r="H23" s="83"/>
      <c r="I23" s="83"/>
      <c r="J23" s="89">
        <f>SUM(J25:J28)</f>
        <v>3545302</v>
      </c>
    </row>
    <row r="24" spans="2:10" s="8" customFormat="1" ht="5.25" customHeight="1" thickBot="1">
      <c r="B24" s="26"/>
      <c r="C24" s="16"/>
      <c r="D24" s="133"/>
      <c r="E24" s="16"/>
      <c r="F24" s="133"/>
      <c r="G24" s="16"/>
      <c r="H24" s="10"/>
      <c r="I24" s="10"/>
      <c r="J24" s="16"/>
    </row>
    <row r="25" spans="2:10" ht="14.25">
      <c r="B25" s="39" t="s">
        <v>41</v>
      </c>
      <c r="C25" s="230">
        <f>2841418.99+2200+1258+1258</f>
        <v>2846134.99</v>
      </c>
      <c r="D25" s="170"/>
      <c r="E25" s="210">
        <v>2967350</v>
      </c>
      <c r="F25" s="136"/>
      <c r="G25" s="215">
        <v>2941685.9</v>
      </c>
      <c r="H25" s="115"/>
      <c r="I25" s="115"/>
      <c r="J25" s="210">
        <v>3096812</v>
      </c>
    </row>
    <row r="26" spans="2:10" ht="14.25">
      <c r="B26" s="41" t="s">
        <v>42</v>
      </c>
      <c r="C26" s="213">
        <v>60865.06</v>
      </c>
      <c r="D26" s="170"/>
      <c r="E26" s="116">
        <v>60865</v>
      </c>
      <c r="F26" s="136"/>
      <c r="G26" s="117">
        <v>62995.34</v>
      </c>
      <c r="H26" s="115"/>
      <c r="I26" s="115"/>
      <c r="J26" s="116">
        <v>62995</v>
      </c>
    </row>
    <row r="27" spans="2:10" ht="14.25">
      <c r="B27" s="41" t="s">
        <v>43</v>
      </c>
      <c r="C27" s="213">
        <v>60865.06</v>
      </c>
      <c r="D27" s="170"/>
      <c r="E27" s="121">
        <v>60865</v>
      </c>
      <c r="F27" s="136"/>
      <c r="G27" s="122">
        <v>62995.34</v>
      </c>
      <c r="H27" s="115"/>
      <c r="I27" s="115"/>
      <c r="J27" s="121">
        <v>62995</v>
      </c>
    </row>
    <row r="28" spans="2:10" ht="15" thickBot="1">
      <c r="B28" s="42" t="s">
        <v>40</v>
      </c>
      <c r="C28" s="224">
        <v>268469.6</v>
      </c>
      <c r="D28" s="170"/>
      <c r="E28" s="219">
        <v>276000</v>
      </c>
      <c r="F28" s="136"/>
      <c r="G28" s="224">
        <v>270168.49</v>
      </c>
      <c r="H28" s="115"/>
      <c r="I28" s="115"/>
      <c r="J28" s="219">
        <v>322500</v>
      </c>
    </row>
    <row r="29" spans="2:10" s="8" customFormat="1" ht="18" customHeight="1" thickBot="1">
      <c r="B29" s="30"/>
      <c r="C29" s="17"/>
      <c r="D29" s="30"/>
      <c r="E29" s="17"/>
      <c r="F29" s="30"/>
      <c r="G29" s="17"/>
      <c r="H29" s="5"/>
      <c r="I29" s="5"/>
      <c r="J29" s="17"/>
    </row>
    <row r="30" spans="2:10" s="32" customFormat="1" ht="21" customHeight="1" thickBot="1">
      <c r="B30" s="206" t="s">
        <v>12</v>
      </c>
      <c r="C30" s="88">
        <f>SUM(C32:C49)</f>
        <v>399220.84</v>
      </c>
      <c r="D30" s="168"/>
      <c r="E30" s="88">
        <f>SUM(E32:E49)</f>
        <v>414975</v>
      </c>
      <c r="F30" s="142"/>
      <c r="G30" s="88">
        <f>SUM(G32:G49)</f>
        <v>562461.91</v>
      </c>
      <c r="H30" s="36"/>
      <c r="I30" s="36"/>
      <c r="J30" s="88">
        <f>SUM(J32:J49)</f>
        <v>1267822</v>
      </c>
    </row>
    <row r="31" spans="2:10" s="8" customFormat="1" ht="11.25" customHeight="1" thickBot="1">
      <c r="B31" s="31"/>
      <c r="C31" s="16"/>
      <c r="D31" s="31"/>
      <c r="E31" s="16"/>
      <c r="F31" s="31"/>
      <c r="G31" s="16"/>
      <c r="H31" s="10"/>
      <c r="I31" s="10"/>
      <c r="J31" s="16"/>
    </row>
    <row r="32" spans="2:10" ht="14.25">
      <c r="B32" s="39" t="s">
        <v>97</v>
      </c>
      <c r="C32" s="215">
        <f>1167.36+1080.64+31.33+21+187.5</f>
        <v>2487.83</v>
      </c>
      <c r="D32" s="183"/>
      <c r="E32" s="120">
        <v>2400</v>
      </c>
      <c r="F32" s="136"/>
      <c r="G32" s="245">
        <v>5586.38</v>
      </c>
      <c r="H32" s="115"/>
      <c r="I32" s="115"/>
      <c r="J32" s="120">
        <v>5590</v>
      </c>
    </row>
    <row r="33" spans="2:10" ht="14.25">
      <c r="B33" s="41" t="s">
        <v>44</v>
      </c>
      <c r="C33" s="213">
        <v>0</v>
      </c>
      <c r="D33" s="183"/>
      <c r="E33" s="116">
        <v>0</v>
      </c>
      <c r="F33" s="136"/>
      <c r="G33" s="242">
        <v>0</v>
      </c>
      <c r="H33" s="115"/>
      <c r="I33" s="115"/>
      <c r="J33" s="116">
        <v>0</v>
      </c>
    </row>
    <row r="34" spans="2:10" ht="14.25">
      <c r="B34" s="102" t="s">
        <v>45</v>
      </c>
      <c r="C34" s="213">
        <v>0</v>
      </c>
      <c r="D34" s="265"/>
      <c r="E34" s="116">
        <v>0</v>
      </c>
      <c r="F34" s="135"/>
      <c r="G34" s="242">
        <v>0</v>
      </c>
      <c r="H34" s="115"/>
      <c r="I34" s="115"/>
      <c r="J34" s="116">
        <v>0</v>
      </c>
    </row>
    <row r="35" spans="2:10" ht="14.25">
      <c r="B35" s="41" t="s">
        <v>191</v>
      </c>
      <c r="C35" s="213">
        <v>3426.84</v>
      </c>
      <c r="D35" s="183"/>
      <c r="E35" s="116">
        <v>3427</v>
      </c>
      <c r="F35" s="136"/>
      <c r="G35" s="242">
        <v>3426.84</v>
      </c>
      <c r="H35" s="115"/>
      <c r="I35" s="115"/>
      <c r="J35" s="116">
        <v>17238</v>
      </c>
    </row>
    <row r="36" spans="2:10" ht="14.25">
      <c r="B36" s="41" t="s">
        <v>46</v>
      </c>
      <c r="C36" s="213">
        <v>9926.04</v>
      </c>
      <c r="D36" s="183"/>
      <c r="E36" s="116">
        <v>9926</v>
      </c>
      <c r="F36" s="136"/>
      <c r="G36" s="242">
        <v>9926.04</v>
      </c>
      <c r="H36" s="115"/>
      <c r="I36" s="115"/>
      <c r="J36" s="116">
        <v>9926</v>
      </c>
    </row>
    <row r="37" spans="2:10" ht="14.25">
      <c r="B37" s="41" t="s">
        <v>122</v>
      </c>
      <c r="C37" s="214">
        <v>9822.48</v>
      </c>
      <c r="D37" s="183"/>
      <c r="E37" s="116">
        <v>9822</v>
      </c>
      <c r="F37" s="136"/>
      <c r="G37" s="242">
        <v>9822.48</v>
      </c>
      <c r="H37" s="115"/>
      <c r="I37" s="115"/>
      <c r="J37" s="116">
        <v>9822</v>
      </c>
    </row>
    <row r="38" spans="2:10" ht="14.25">
      <c r="B38" s="41" t="s">
        <v>203</v>
      </c>
      <c r="C38" s="213">
        <f>4200+4200+1800+4200+600+600+600+600+12+5400+100+2800+4800+5400+4200+4800+4800+350</f>
        <v>49462</v>
      </c>
      <c r="D38" s="183"/>
      <c r="E38" s="264">
        <v>55830</v>
      </c>
      <c r="F38" s="136"/>
      <c r="G38" s="242">
        <f>4200+700+3500+1800+4200+600+600+600+600+12+5400+100+2800+4800+5400+4600+4400+7200+4200+1500+4800+7000+1800+906.66+1000+200+900+400</f>
        <v>74218.66</v>
      </c>
      <c r="H38" s="115"/>
      <c r="I38" s="115"/>
      <c r="J38" s="212">
        <v>91796</v>
      </c>
    </row>
    <row r="39" spans="2:10" ht="14.25">
      <c r="B39" s="41" t="s">
        <v>119</v>
      </c>
      <c r="C39" s="213">
        <v>24660</v>
      </c>
      <c r="D39" s="183"/>
      <c r="E39" s="116">
        <v>26820</v>
      </c>
      <c r="F39" s="136"/>
      <c r="G39" s="242">
        <v>23877</v>
      </c>
      <c r="H39" s="127"/>
      <c r="I39" s="193"/>
      <c r="J39" s="116">
        <v>24850</v>
      </c>
    </row>
    <row r="40" spans="2:10" ht="14.25">
      <c r="B40" s="41" t="s">
        <v>120</v>
      </c>
      <c r="C40" s="213">
        <v>84882</v>
      </c>
      <c r="D40" s="183"/>
      <c r="E40" s="212">
        <v>90000</v>
      </c>
      <c r="F40" s="136"/>
      <c r="G40" s="213">
        <v>181970.44</v>
      </c>
      <c r="H40" s="127"/>
      <c r="I40" s="193"/>
      <c r="J40" s="212">
        <v>600000</v>
      </c>
    </row>
    <row r="41" spans="2:10" ht="14.25">
      <c r="B41" s="41" t="s">
        <v>123</v>
      </c>
      <c r="C41" s="213">
        <v>41912</v>
      </c>
      <c r="D41" s="183"/>
      <c r="E41" s="116">
        <v>42000</v>
      </c>
      <c r="F41" s="136"/>
      <c r="G41" s="242">
        <v>74565.8</v>
      </c>
      <c r="H41" s="192"/>
      <c r="I41" s="193"/>
      <c r="J41" s="116">
        <v>75000</v>
      </c>
    </row>
    <row r="42" spans="2:10" ht="14.25">
      <c r="B42" s="41" t="s">
        <v>124</v>
      </c>
      <c r="C42" s="213">
        <v>3189</v>
      </c>
      <c r="D42" s="183"/>
      <c r="E42" s="121">
        <v>3200</v>
      </c>
      <c r="F42" s="136"/>
      <c r="G42" s="243">
        <v>6217</v>
      </c>
      <c r="H42" s="192"/>
      <c r="I42" s="193"/>
      <c r="J42" s="121">
        <v>6300</v>
      </c>
    </row>
    <row r="43" spans="2:10" ht="14.25" customHeight="1">
      <c r="B43" s="97" t="s">
        <v>121</v>
      </c>
      <c r="C43" s="213">
        <v>8350</v>
      </c>
      <c r="D43" s="183"/>
      <c r="E43" s="122">
        <v>7750</v>
      </c>
      <c r="F43" s="136"/>
      <c r="G43" s="243">
        <v>9880</v>
      </c>
      <c r="H43" s="128"/>
      <c r="I43" s="194"/>
      <c r="J43" s="122">
        <v>9900</v>
      </c>
    </row>
    <row r="44" spans="2:10" ht="14.25">
      <c r="B44" s="41" t="s">
        <v>98</v>
      </c>
      <c r="C44" s="214">
        <v>1390.13</v>
      </c>
      <c r="D44" s="183"/>
      <c r="E44" s="121">
        <v>1300</v>
      </c>
      <c r="F44" s="136"/>
      <c r="G44" s="243">
        <v>1040.36</v>
      </c>
      <c r="H44" s="115"/>
      <c r="I44" s="115"/>
      <c r="J44" s="121">
        <v>1000</v>
      </c>
    </row>
    <row r="45" spans="2:10" ht="14.25">
      <c r="B45" s="41" t="s">
        <v>151</v>
      </c>
      <c r="C45" s="214">
        <v>122457.72</v>
      </c>
      <c r="D45" s="183"/>
      <c r="E45" s="121">
        <v>122500</v>
      </c>
      <c r="F45" s="136"/>
      <c r="G45" s="243">
        <v>131087.4</v>
      </c>
      <c r="H45" s="115"/>
      <c r="I45" s="115"/>
      <c r="J45" s="121">
        <v>131000</v>
      </c>
    </row>
    <row r="46" spans="2:10" ht="14.25">
      <c r="B46" s="41" t="s">
        <v>154</v>
      </c>
      <c r="C46" s="214">
        <v>12312.74</v>
      </c>
      <c r="D46" s="183"/>
      <c r="E46" s="217">
        <v>15000</v>
      </c>
      <c r="F46" s="136"/>
      <c r="G46" s="214">
        <v>16868</v>
      </c>
      <c r="H46" s="115"/>
      <c r="I46" s="115"/>
      <c r="J46" s="217">
        <v>16900</v>
      </c>
    </row>
    <row r="47" spans="2:10" ht="14.25">
      <c r="B47" s="41" t="s">
        <v>167</v>
      </c>
      <c r="C47" s="214">
        <v>18572</v>
      </c>
      <c r="D47" s="183"/>
      <c r="E47" s="217">
        <v>18500</v>
      </c>
      <c r="F47" s="136"/>
      <c r="G47" s="214">
        <v>0</v>
      </c>
      <c r="H47" s="115"/>
      <c r="I47" s="115"/>
      <c r="J47" s="217">
        <v>18500</v>
      </c>
    </row>
    <row r="48" spans="2:10" ht="14.25">
      <c r="B48" s="41" t="s">
        <v>199</v>
      </c>
      <c r="C48" s="214">
        <v>0</v>
      </c>
      <c r="D48" s="183"/>
      <c r="E48" s="217">
        <v>0</v>
      </c>
      <c r="F48" s="136"/>
      <c r="G48" s="214">
        <v>0</v>
      </c>
      <c r="H48" s="115"/>
      <c r="I48" s="115"/>
      <c r="J48" s="217">
        <v>240000</v>
      </c>
    </row>
    <row r="49" spans="2:10" ht="15" thickBot="1">
      <c r="B49" s="42" t="s">
        <v>200</v>
      </c>
      <c r="C49" s="224">
        <f>891.7+345.6+4715.31+417.45</f>
        <v>6370.06</v>
      </c>
      <c r="D49" s="183"/>
      <c r="E49" s="119">
        <v>6500</v>
      </c>
      <c r="F49" s="136"/>
      <c r="G49" s="244">
        <v>13975.51</v>
      </c>
      <c r="H49" s="115"/>
      <c r="I49" s="115"/>
      <c r="J49" s="119">
        <v>10000</v>
      </c>
    </row>
    <row r="50" spans="2:10" s="70" customFormat="1" ht="9" customHeight="1" thickBot="1">
      <c r="B50" s="30"/>
      <c r="C50" s="17"/>
      <c r="D50" s="30"/>
      <c r="E50" s="17"/>
      <c r="F50" s="30"/>
      <c r="G50" s="17"/>
      <c r="H50" s="5"/>
      <c r="I50" s="5"/>
      <c r="J50" s="17"/>
    </row>
    <row r="51" spans="2:10" s="32" customFormat="1" ht="21" customHeight="1" thickBot="1">
      <c r="B51" s="76" t="s">
        <v>13</v>
      </c>
      <c r="C51" s="88">
        <f>SUM(C53:C58)</f>
        <v>284520.59</v>
      </c>
      <c r="D51" s="168"/>
      <c r="E51" s="88">
        <f>SUM(E53:E58)</f>
        <v>255605</v>
      </c>
      <c r="F51" s="142"/>
      <c r="G51" s="88">
        <f>SUM(G53:G58)</f>
        <v>316737.11</v>
      </c>
      <c r="H51" s="36"/>
      <c r="I51" s="36"/>
      <c r="J51" s="88">
        <f>SUM(J53:J58)</f>
        <v>280225</v>
      </c>
    </row>
    <row r="52" spans="2:10" s="8" customFormat="1" ht="3" customHeight="1" thickBot="1">
      <c r="B52" s="31"/>
      <c r="C52" s="16"/>
      <c r="D52" s="31"/>
      <c r="E52" s="16"/>
      <c r="F52" s="31"/>
      <c r="G52" s="16"/>
      <c r="H52" s="10"/>
      <c r="I52" s="10"/>
      <c r="J52" s="16"/>
    </row>
    <row r="53" spans="2:10" s="32" customFormat="1" ht="14.25">
      <c r="B53" s="108" t="s">
        <v>52</v>
      </c>
      <c r="C53" s="215">
        <f>69388.49+34770</f>
        <v>104158.49</v>
      </c>
      <c r="D53" s="171"/>
      <c r="E53" s="125">
        <v>87500</v>
      </c>
      <c r="F53" s="137"/>
      <c r="G53" s="125">
        <f>78320+53800.74+1440</f>
        <v>133560.74</v>
      </c>
      <c r="H53" s="118"/>
      <c r="I53" s="118"/>
      <c r="J53" s="125">
        <v>110000</v>
      </c>
    </row>
    <row r="54" spans="2:10" s="32" customFormat="1" ht="14.25" customHeight="1">
      <c r="B54" s="107" t="s">
        <v>118</v>
      </c>
      <c r="C54" s="213">
        <v>139677.63</v>
      </c>
      <c r="D54" s="172"/>
      <c r="E54" s="123">
        <v>140000</v>
      </c>
      <c r="F54" s="138"/>
      <c r="G54" s="123">
        <v>143708.35</v>
      </c>
      <c r="H54" s="118"/>
      <c r="I54" s="118"/>
      <c r="J54" s="211">
        <v>145000</v>
      </c>
    </row>
    <row r="55" spans="1:10" s="32" customFormat="1" ht="14.25">
      <c r="A55" s="105"/>
      <c r="B55" s="97" t="s">
        <v>47</v>
      </c>
      <c r="C55" s="214">
        <v>3309.96</v>
      </c>
      <c r="D55" s="170"/>
      <c r="E55" s="122">
        <v>3310</v>
      </c>
      <c r="F55" s="136"/>
      <c r="G55" s="122">
        <v>3309.96</v>
      </c>
      <c r="H55" s="118"/>
      <c r="I55" s="118"/>
      <c r="J55" s="122">
        <v>3310</v>
      </c>
    </row>
    <row r="56" spans="1:10" s="32" customFormat="1" ht="15" customHeight="1">
      <c r="A56" s="104"/>
      <c r="B56" s="97" t="s">
        <v>136</v>
      </c>
      <c r="C56" s="213">
        <v>21702.17</v>
      </c>
      <c r="D56" s="170"/>
      <c r="E56" s="213">
        <v>18895</v>
      </c>
      <c r="F56" s="136"/>
      <c r="G56" s="213">
        <v>18895.69</v>
      </c>
      <c r="H56" s="118"/>
      <c r="I56" s="118"/>
      <c r="J56" s="213">
        <v>7415</v>
      </c>
    </row>
    <row r="57" spans="1:10" s="32" customFormat="1" ht="15" customHeight="1">
      <c r="A57" s="104"/>
      <c r="B57" s="97" t="s">
        <v>137</v>
      </c>
      <c r="C57" s="213">
        <v>1674.45</v>
      </c>
      <c r="D57" s="170"/>
      <c r="E57" s="122">
        <v>1700</v>
      </c>
      <c r="F57" s="136"/>
      <c r="G57" s="122">
        <v>2989.76</v>
      </c>
      <c r="H57" s="118"/>
      <c r="I57" s="118"/>
      <c r="J57" s="122">
        <v>4500</v>
      </c>
    </row>
    <row r="58" spans="1:10" s="32" customFormat="1" ht="14.25" customHeight="1" thickBot="1">
      <c r="A58" s="104"/>
      <c r="B58" s="42" t="s">
        <v>138</v>
      </c>
      <c r="C58" s="223">
        <f>200+200+200+3172+224.93+0.96+10000</f>
        <v>13997.89</v>
      </c>
      <c r="D58" s="170"/>
      <c r="E58" s="124">
        <v>4200</v>
      </c>
      <c r="F58" s="136"/>
      <c r="G58" s="124">
        <f>4500+400+450+400+0.61+4522+4000</f>
        <v>14272.61</v>
      </c>
      <c r="H58" s="118"/>
      <c r="I58" s="118"/>
      <c r="J58" s="124">
        <v>10000</v>
      </c>
    </row>
    <row r="59" spans="2:10" s="32" customFormat="1" ht="24" customHeight="1" thickBot="1">
      <c r="B59" s="110" t="s">
        <v>48</v>
      </c>
      <c r="C59" s="231">
        <f>+C51+C30+C23+C9</f>
        <v>4743546.460000001</v>
      </c>
      <c r="D59" s="173"/>
      <c r="E59" s="231">
        <f>+E51+E30+E23+E9</f>
        <v>4836010</v>
      </c>
      <c r="F59" s="144"/>
      <c r="G59" s="231">
        <f>+G51+G30+G23+G9</f>
        <v>5042481.68</v>
      </c>
      <c r="H59" s="84"/>
      <c r="I59" s="84"/>
      <c r="J59" s="231">
        <f>+J51+J30+J23+J9</f>
        <v>6006334</v>
      </c>
    </row>
    <row r="60" spans="2:10" s="8" customFormat="1" ht="17.25" customHeight="1" thickBot="1">
      <c r="B60" s="13"/>
      <c r="C60" s="18"/>
      <c r="E60" s="18"/>
      <c r="G60" s="18"/>
      <c r="H60" s="4"/>
      <c r="I60" s="4"/>
      <c r="J60" s="18"/>
    </row>
    <row r="61" spans="2:10" s="32" customFormat="1" ht="21" customHeight="1" thickBot="1">
      <c r="B61" s="76" t="s">
        <v>14</v>
      </c>
      <c r="C61" s="88">
        <f>SUM(C63:C71)</f>
        <v>923290.04</v>
      </c>
      <c r="D61" s="168"/>
      <c r="E61" s="88">
        <f>SUM(E63:E71)</f>
        <v>680990</v>
      </c>
      <c r="F61" s="142"/>
      <c r="G61" s="88">
        <f>SUM(G63:G71)</f>
        <v>1325723.46</v>
      </c>
      <c r="H61" s="36"/>
      <c r="I61" s="36"/>
      <c r="J61" s="88">
        <f>SUM(J63:J71)</f>
        <v>2240446</v>
      </c>
    </row>
    <row r="62" spans="2:10" s="8" customFormat="1" ht="5.25" customHeight="1" thickBot="1">
      <c r="B62" s="22"/>
      <c r="C62" s="16"/>
      <c r="D62" s="31"/>
      <c r="E62" s="16"/>
      <c r="F62" s="31"/>
      <c r="G62" s="16"/>
      <c r="H62" s="10"/>
      <c r="I62" s="10"/>
      <c r="J62" s="16"/>
    </row>
    <row r="63" spans="2:10" s="32" customFormat="1" ht="14.25" customHeight="1">
      <c r="B63" s="197" t="s">
        <v>141</v>
      </c>
      <c r="C63" s="215">
        <v>23401</v>
      </c>
      <c r="D63" s="172"/>
      <c r="E63" s="215">
        <v>23000</v>
      </c>
      <c r="F63" s="138"/>
      <c r="G63" s="215">
        <v>25334.38</v>
      </c>
      <c r="H63" s="40"/>
      <c r="I63" s="40"/>
      <c r="J63" s="215">
        <v>25000</v>
      </c>
    </row>
    <row r="64" spans="2:10" s="32" customFormat="1" ht="14.25" customHeight="1">
      <c r="B64" s="41" t="s">
        <v>155</v>
      </c>
      <c r="C64" s="213">
        <f>10820+7000+3400</f>
        <v>21220</v>
      </c>
      <c r="D64" s="170"/>
      <c r="E64" s="211">
        <v>0</v>
      </c>
      <c r="F64" s="136"/>
      <c r="G64" s="211">
        <v>234026.3</v>
      </c>
      <c r="H64" s="40"/>
      <c r="I64" s="40"/>
      <c r="J64" s="211">
        <f>633500</f>
        <v>633500</v>
      </c>
    </row>
    <row r="65" spans="2:10" s="32" customFormat="1" ht="14.25" customHeight="1">
      <c r="B65" s="41" t="s">
        <v>171</v>
      </c>
      <c r="C65" s="214">
        <v>60000</v>
      </c>
      <c r="D65" s="170"/>
      <c r="E65" s="211">
        <v>0</v>
      </c>
      <c r="F65" s="136"/>
      <c r="G65" s="211">
        <v>180000</v>
      </c>
      <c r="H65" s="40"/>
      <c r="I65" s="40"/>
      <c r="J65" s="211">
        <v>750000</v>
      </c>
    </row>
    <row r="66" spans="2:10" ht="14.25" customHeight="1">
      <c r="B66" s="38" t="s">
        <v>172</v>
      </c>
      <c r="C66" s="214">
        <v>266186.14</v>
      </c>
      <c r="D66" s="174"/>
      <c r="E66" s="116">
        <v>257985</v>
      </c>
      <c r="F66" s="33"/>
      <c r="G66" s="242">
        <v>263808.17</v>
      </c>
      <c r="H66" s="5"/>
      <c r="I66" s="5"/>
      <c r="J66" s="116">
        <v>255938</v>
      </c>
    </row>
    <row r="67" spans="2:10" ht="14.25" customHeight="1">
      <c r="B67" s="38" t="s">
        <v>173</v>
      </c>
      <c r="C67" s="213">
        <v>30952.25</v>
      </c>
      <c r="D67" s="174"/>
      <c r="E67" s="212">
        <v>70705</v>
      </c>
      <c r="F67" s="33"/>
      <c r="G67" s="213">
        <v>70705.13</v>
      </c>
      <c r="H67" s="5"/>
      <c r="I67" s="5"/>
      <c r="J67" s="212">
        <v>16125</v>
      </c>
    </row>
    <row r="68" spans="2:10" ht="14.25" customHeight="1">
      <c r="B68" s="38" t="s">
        <v>174</v>
      </c>
      <c r="C68" s="214">
        <v>4300</v>
      </c>
      <c r="D68" s="174"/>
      <c r="E68" s="212">
        <v>4300</v>
      </c>
      <c r="F68" s="33"/>
      <c r="G68" s="213">
        <v>2000</v>
      </c>
      <c r="H68" s="5"/>
      <c r="I68" s="5"/>
      <c r="J68" s="212">
        <v>2000</v>
      </c>
    </row>
    <row r="69" spans="2:10" ht="14.25" customHeight="1">
      <c r="B69" s="38" t="s">
        <v>182</v>
      </c>
      <c r="C69" s="214">
        <v>517230.65</v>
      </c>
      <c r="D69" s="174"/>
      <c r="E69" s="116">
        <f>325000</f>
        <v>325000</v>
      </c>
      <c r="F69" s="33"/>
      <c r="G69" s="242">
        <f>549429.48+420</f>
        <v>549849.48</v>
      </c>
      <c r="H69" s="5"/>
      <c r="I69" s="5"/>
      <c r="J69" s="116">
        <f>312944+244937+2</f>
        <v>557883</v>
      </c>
    </row>
    <row r="70" spans="2:10" ht="14.25" customHeight="1">
      <c r="B70" s="38" t="s">
        <v>183</v>
      </c>
      <c r="C70" s="122"/>
      <c r="D70" s="174"/>
      <c r="E70" s="217">
        <v>0</v>
      </c>
      <c r="F70" s="33"/>
      <c r="G70" s="122"/>
      <c r="H70" s="5"/>
      <c r="I70" s="5"/>
      <c r="J70" s="217"/>
    </row>
    <row r="71" spans="2:10" ht="14.25" customHeight="1" thickBot="1">
      <c r="B71" s="165" t="s">
        <v>184</v>
      </c>
      <c r="C71" s="146"/>
      <c r="D71" s="175"/>
      <c r="E71" s="146"/>
      <c r="F71" s="139"/>
      <c r="G71" s="124"/>
      <c r="H71" s="5"/>
      <c r="I71" s="5"/>
      <c r="J71" s="146"/>
    </row>
    <row r="72" spans="2:10" ht="9" customHeight="1" thickBot="1">
      <c r="B72" s="33"/>
      <c r="C72" s="17"/>
      <c r="D72" s="33"/>
      <c r="E72" s="17"/>
      <c r="F72" s="33"/>
      <c r="G72" s="17"/>
      <c r="H72" s="5"/>
      <c r="I72" s="5"/>
      <c r="J72" s="17"/>
    </row>
    <row r="73" spans="2:10" s="11" customFormat="1" ht="27" customHeight="1" thickBot="1">
      <c r="B73" s="111" t="s">
        <v>49</v>
      </c>
      <c r="C73" s="232">
        <f>+C59+C61</f>
        <v>5666836.500000001</v>
      </c>
      <c r="D73" s="176"/>
      <c r="E73" s="250">
        <f>+E59+E61</f>
        <v>5517000</v>
      </c>
      <c r="F73" s="145"/>
      <c r="G73" s="232">
        <f>+G59+G61</f>
        <v>6368205.14</v>
      </c>
      <c r="H73" s="85"/>
      <c r="I73" s="85"/>
      <c r="J73" s="250">
        <f>+J59+J61</f>
        <v>8246780</v>
      </c>
    </row>
    <row r="74" spans="3:10" ht="12.75">
      <c r="C74" s="18"/>
      <c r="E74" s="18"/>
      <c r="G74" s="18"/>
      <c r="H74" s="4"/>
      <c r="I74" s="4"/>
      <c r="J74" s="18"/>
    </row>
    <row r="76" ht="51.75" customHeight="1"/>
  </sheetData>
  <sheetProtection/>
  <mergeCells count="8">
    <mergeCell ref="A1:J1"/>
    <mergeCell ref="A2:J2"/>
    <mergeCell ref="A4:J4"/>
    <mergeCell ref="G7:G8"/>
    <mergeCell ref="J7:J8"/>
    <mergeCell ref="E7:E8"/>
    <mergeCell ref="B5:J5"/>
    <mergeCell ref="C7:C8"/>
  </mergeCells>
  <printOptions/>
  <pageMargins left="0.2755905511811024" right="0.15748031496062992" top="0.6692913385826772" bottom="0.1968503937007874" header="0.1574803149606299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75" zoomScaleNormal="75" zoomScalePageLayoutView="0" workbookViewId="0" topLeftCell="A1">
      <selection activeCell="A28" sqref="A28"/>
    </sheetView>
  </sheetViews>
  <sheetFormatPr defaultColWidth="11.421875" defaultRowHeight="12.75"/>
  <cols>
    <col min="1" max="1" width="82.57421875" style="0" bestFit="1" customWidth="1"/>
    <col min="2" max="2" width="0.71875" style="0" customWidth="1"/>
    <col min="3" max="3" width="17.7109375" style="0" bestFit="1" customWidth="1"/>
    <col min="4" max="4" width="17.57421875" style="0" bestFit="1" customWidth="1"/>
    <col min="5" max="5" width="0.71875" style="0" customWidth="1"/>
    <col min="6" max="6" width="18.28125" style="0" customWidth="1"/>
    <col min="7" max="7" width="13.28125" style="44" bestFit="1" customWidth="1"/>
  </cols>
  <sheetData>
    <row r="2" spans="1:7" ht="33.75">
      <c r="A2" s="272" t="s">
        <v>27</v>
      </c>
      <c r="B2" s="272"/>
      <c r="C2" s="272"/>
      <c r="D2" s="272"/>
      <c r="E2" s="272"/>
      <c r="F2" s="272"/>
      <c r="G2" s="272"/>
    </row>
    <row r="3" spans="1:7" ht="23.25">
      <c r="A3" s="273" t="s">
        <v>28</v>
      </c>
      <c r="B3" s="273"/>
      <c r="C3" s="273"/>
      <c r="D3" s="273"/>
      <c r="E3" s="273"/>
      <c r="F3" s="273"/>
      <c r="G3" s="273"/>
    </row>
    <row r="4" spans="1:7" ht="23.25">
      <c r="A4" s="274" t="s">
        <v>169</v>
      </c>
      <c r="B4" s="274"/>
      <c r="C4" s="274"/>
      <c r="D4" s="274"/>
      <c r="E4" s="274"/>
      <c r="F4" s="274"/>
      <c r="G4" s="274"/>
    </row>
    <row r="5" spans="1:7" ht="18.75">
      <c r="A5" s="275" t="s">
        <v>36</v>
      </c>
      <c r="B5" s="275"/>
      <c r="C5" s="275"/>
      <c r="D5" s="275"/>
      <c r="E5" s="275"/>
      <c r="F5" s="275"/>
      <c r="G5" s="275"/>
    </row>
    <row r="6" spans="1:7" ht="23.25">
      <c r="A6" s="65"/>
      <c r="B6" s="65"/>
      <c r="C6" s="65"/>
      <c r="D6" s="65"/>
      <c r="E6" s="65"/>
      <c r="F6" s="65"/>
      <c r="G6" s="65"/>
    </row>
    <row r="7" ht="13.5" thickBot="1"/>
    <row r="8" spans="1:18" ht="23.25">
      <c r="A8" s="66" t="s">
        <v>18</v>
      </c>
      <c r="B8" s="59"/>
      <c r="C8" s="48" t="s">
        <v>86</v>
      </c>
      <c r="D8" s="48" t="s">
        <v>25</v>
      </c>
      <c r="E8" s="54"/>
      <c r="F8" s="63" t="s">
        <v>19</v>
      </c>
      <c r="G8" s="49" t="s">
        <v>20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2" ht="24" thickBot="1">
      <c r="A9" s="66" t="s">
        <v>26</v>
      </c>
      <c r="B9" s="60"/>
      <c r="C9" s="50">
        <v>2022</v>
      </c>
      <c r="D9" s="50">
        <v>2023</v>
      </c>
      <c r="E9" s="55"/>
      <c r="F9" s="64" t="s">
        <v>21</v>
      </c>
      <c r="G9" s="51" t="s">
        <v>22</v>
      </c>
      <c r="L9" s="1"/>
    </row>
    <row r="10" spans="1:7" ht="18">
      <c r="A10" s="45" t="s">
        <v>11</v>
      </c>
      <c r="B10" s="61"/>
      <c r="C10" s="258">
        <f>Ingresos!G9</f>
        <v>825437.59</v>
      </c>
      <c r="D10" s="258">
        <f>+Ingresos!J9</f>
        <v>912985</v>
      </c>
      <c r="E10" s="56"/>
      <c r="F10" s="251">
        <f>+D10-C10</f>
        <v>87547.41000000003</v>
      </c>
      <c r="G10" s="252">
        <f aca="true" t="shared" si="0" ref="G10:G15">+F10/C10</f>
        <v>0.1060618162543337</v>
      </c>
    </row>
    <row r="11" spans="1:7" ht="18">
      <c r="A11" s="46" t="s">
        <v>23</v>
      </c>
      <c r="B11" s="61"/>
      <c r="C11" s="259">
        <f>Ingresos!G23</f>
        <v>3337845.0699999994</v>
      </c>
      <c r="D11" s="259">
        <f>+Ingresos!J23</f>
        <v>3545302</v>
      </c>
      <c r="E11" s="57"/>
      <c r="F11" s="235">
        <f>+D11-C11</f>
        <v>207456.93000000063</v>
      </c>
      <c r="G11" s="236">
        <f t="shared" si="0"/>
        <v>0.06215295367199313</v>
      </c>
    </row>
    <row r="12" spans="1:7" ht="18">
      <c r="A12" s="46" t="s">
        <v>12</v>
      </c>
      <c r="B12" s="61"/>
      <c r="C12" s="259">
        <f>Ingresos!G30</f>
        <v>562461.91</v>
      </c>
      <c r="D12" s="259">
        <f>+Ingresos!J30</f>
        <v>1267822</v>
      </c>
      <c r="E12" s="57"/>
      <c r="F12" s="233">
        <f>+D12-C12</f>
        <v>705360.09</v>
      </c>
      <c r="G12" s="234">
        <f t="shared" si="0"/>
        <v>1.2540584125954413</v>
      </c>
    </row>
    <row r="13" spans="1:7" ht="18">
      <c r="A13" s="46" t="s">
        <v>13</v>
      </c>
      <c r="B13" s="61"/>
      <c r="C13" s="259">
        <f>Ingresos!G51</f>
        <v>316737.11</v>
      </c>
      <c r="D13" s="259">
        <f>+Ingresos!J51</f>
        <v>280225</v>
      </c>
      <c r="E13" s="57"/>
      <c r="F13" s="95">
        <f>+D13-C13</f>
        <v>-36512.109999999986</v>
      </c>
      <c r="G13" s="96">
        <f t="shared" si="0"/>
        <v>-0.11527575660458601</v>
      </c>
    </row>
    <row r="14" spans="1:7" ht="18.75" thickBot="1">
      <c r="A14" s="46" t="s">
        <v>14</v>
      </c>
      <c r="B14" s="61"/>
      <c r="C14" s="260">
        <f>Ingresos!G61</f>
        <v>1325723.46</v>
      </c>
      <c r="D14" s="260">
        <f>+Ingresos!J61</f>
        <v>2240446</v>
      </c>
      <c r="E14" s="57"/>
      <c r="F14" s="253">
        <f>+D14-C14</f>
        <v>914722.54</v>
      </c>
      <c r="G14" s="254">
        <f t="shared" si="0"/>
        <v>0.6899798997296164</v>
      </c>
    </row>
    <row r="15" spans="1:7" ht="18.75" thickBot="1">
      <c r="A15" s="67" t="s">
        <v>24</v>
      </c>
      <c r="B15" s="62"/>
      <c r="C15" s="262">
        <f>SUM(C10:C14)</f>
        <v>6368205.14</v>
      </c>
      <c r="D15" s="263">
        <f>SUM(D10:D14)</f>
        <v>8246780</v>
      </c>
      <c r="E15" s="53"/>
      <c r="F15" s="47">
        <f>SUM(F10:F14)</f>
        <v>1878574.8600000008</v>
      </c>
      <c r="G15" s="255">
        <f t="shared" si="0"/>
        <v>0.29499283058585657</v>
      </c>
    </row>
    <row r="16" ht="6.75" customHeight="1"/>
    <row r="17" ht="6.75" customHeight="1"/>
    <row r="18" spans="2:7" ht="23.25">
      <c r="B18" s="52"/>
      <c r="C18" s="52"/>
      <c r="D18" s="52"/>
      <c r="E18" s="52"/>
      <c r="F18" s="52"/>
      <c r="G18" s="52"/>
    </row>
    <row r="20" ht="12.75">
      <c r="D20" s="261"/>
    </row>
  </sheetData>
  <sheetProtection/>
  <mergeCells count="4">
    <mergeCell ref="A2:G2"/>
    <mergeCell ref="A3:G3"/>
    <mergeCell ref="A4:G4"/>
    <mergeCell ref="A5:G5"/>
  </mergeCells>
  <printOptions/>
  <pageMargins left="0.38" right="0.1968503937007874" top="0.5905511811023623" bottom="0.3937007874015748" header="0.5905511811023623" footer="0.1968503937007874"/>
  <pageSetup fitToHeight="1" fitToWidth="1" horizontalDpi="600" verticalDpi="600" orientation="landscape" paperSize="9" scale="95" r:id="rId2"/>
  <headerFooter alignWithMargins="0">
    <oddHeader xml:space="preserve">&amp;C&amp;"Rockwell,Negrita"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1" sqref="A1:I158"/>
    </sheetView>
  </sheetViews>
  <sheetFormatPr defaultColWidth="11.421875" defaultRowHeight="12.75"/>
  <cols>
    <col min="1" max="1" width="2.7109375" style="68" customWidth="1"/>
    <col min="2" max="2" width="57.7109375" style="68" customWidth="1"/>
    <col min="3" max="3" width="18.7109375" style="90" customWidth="1"/>
    <col min="4" max="4" width="2.7109375" style="71" customWidth="1"/>
    <col min="5" max="5" width="18.7109375" style="90" customWidth="1"/>
    <col min="6" max="6" width="2.7109375" style="71" customWidth="1"/>
    <col min="7" max="7" width="18.7109375" style="90" customWidth="1"/>
    <col min="8" max="8" width="2.7109375" style="148" customWidth="1"/>
    <col min="9" max="9" width="18.7109375" style="90" customWidth="1"/>
    <col min="10" max="16384" width="11.421875" style="68" customWidth="1"/>
  </cols>
  <sheetData>
    <row r="1" spans="2:9" ht="26.25" customHeight="1">
      <c r="B1" s="266" t="s">
        <v>15</v>
      </c>
      <c r="C1" s="266"/>
      <c r="D1" s="266"/>
      <c r="E1" s="266"/>
      <c r="F1" s="266"/>
      <c r="G1" s="266"/>
      <c r="H1" s="266"/>
      <c r="I1" s="266"/>
    </row>
    <row r="2" spans="2:9" ht="26.25" customHeight="1">
      <c r="B2" s="267" t="s">
        <v>96</v>
      </c>
      <c r="C2" s="267"/>
      <c r="D2" s="267"/>
      <c r="E2" s="267"/>
      <c r="F2" s="267"/>
      <c r="G2" s="267"/>
      <c r="H2" s="267"/>
      <c r="I2" s="267"/>
    </row>
    <row r="3" spans="2:9" ht="36.75" customHeight="1">
      <c r="B3" s="268"/>
      <c r="C3" s="268"/>
      <c r="D3" s="268"/>
      <c r="E3" s="268"/>
      <c r="F3" s="268"/>
      <c r="G3" s="268"/>
      <c r="H3" s="268"/>
      <c r="I3" s="268"/>
    </row>
    <row r="4" spans="2:9" ht="23.25">
      <c r="B4" s="271" t="s">
        <v>127</v>
      </c>
      <c r="C4" s="271"/>
      <c r="D4" s="271"/>
      <c r="E4" s="271"/>
      <c r="F4" s="271"/>
      <c r="G4" s="271"/>
      <c r="H4" s="271"/>
      <c r="I4" s="271"/>
    </row>
    <row r="5" spans="2:9" ht="18" customHeight="1" thickBot="1">
      <c r="B5" s="131"/>
      <c r="C5" s="222"/>
      <c r="D5" s="155"/>
      <c r="E5" s="131"/>
      <c r="F5" s="131"/>
      <c r="G5" s="222"/>
      <c r="H5" s="131"/>
      <c r="I5" s="131"/>
    </row>
    <row r="6" spans="2:9" ht="23.25" customHeight="1">
      <c r="B6" s="131" t="s">
        <v>35</v>
      </c>
      <c r="C6" s="269" t="s">
        <v>185</v>
      </c>
      <c r="D6" s="155"/>
      <c r="E6" s="269" t="s">
        <v>168</v>
      </c>
      <c r="F6" s="155"/>
      <c r="G6" s="269" t="s">
        <v>186</v>
      </c>
      <c r="H6" s="140"/>
      <c r="I6" s="269" t="s">
        <v>187</v>
      </c>
    </row>
    <row r="7" spans="2:9" ht="28.5" customHeight="1" thickBot="1">
      <c r="B7" s="132"/>
      <c r="C7" s="270"/>
      <c r="D7" s="132"/>
      <c r="E7" s="270"/>
      <c r="F7" s="132"/>
      <c r="G7" s="270"/>
      <c r="H7" s="149"/>
      <c r="I7" s="270"/>
    </row>
    <row r="8" spans="2:9" s="72" customFormat="1" ht="20.25" customHeight="1" thickBot="1">
      <c r="B8" s="77" t="s">
        <v>0</v>
      </c>
      <c r="C8" s="91">
        <f>+C10+C18+C52+C63+C68</f>
        <v>1158351.0599999998</v>
      </c>
      <c r="D8" s="179"/>
      <c r="E8" s="91">
        <f>+E10+E18+E52+E63+E68</f>
        <v>1452724</v>
      </c>
      <c r="F8" s="156"/>
      <c r="G8" s="91">
        <f>+G10+G18+G52+G63+G68</f>
        <v>1411068.78</v>
      </c>
      <c r="H8" s="150"/>
      <c r="I8" s="91">
        <f>+I10+I18+I52+I63+I68</f>
        <v>1893434</v>
      </c>
    </row>
    <row r="9" spans="2:9" s="73" customFormat="1" ht="9" customHeight="1" thickBot="1">
      <c r="B9" s="34"/>
      <c r="C9" s="35"/>
      <c r="D9" s="156"/>
      <c r="E9" s="35"/>
      <c r="F9" s="156"/>
      <c r="G9" s="35"/>
      <c r="H9" s="150"/>
      <c r="I9" s="35"/>
    </row>
    <row r="10" spans="2:9" s="72" customFormat="1" ht="16.5" customHeight="1" thickBot="1">
      <c r="B10" s="78" t="s">
        <v>1</v>
      </c>
      <c r="C10" s="92">
        <f>SUM(C11:C17)</f>
        <v>5371.68</v>
      </c>
      <c r="D10" s="179"/>
      <c r="E10" s="92">
        <f>SUM(E11:E17)</f>
        <v>25000</v>
      </c>
      <c r="F10" s="156"/>
      <c r="G10" s="92">
        <f>SUM(G11:G17)</f>
        <v>13176.47</v>
      </c>
      <c r="H10" s="151"/>
      <c r="I10" s="92">
        <f>SUM(I11:I17)</f>
        <v>21000</v>
      </c>
    </row>
    <row r="11" spans="2:9" ht="14.25">
      <c r="B11" s="2" t="s">
        <v>54</v>
      </c>
      <c r="C11" s="230">
        <v>1258.99</v>
      </c>
      <c r="D11" s="177"/>
      <c r="E11" s="114">
        <v>6000</v>
      </c>
      <c r="F11" s="30"/>
      <c r="G11" s="230">
        <v>2289.86</v>
      </c>
      <c r="H11" s="152"/>
      <c r="I11" s="114">
        <v>4000</v>
      </c>
    </row>
    <row r="12" spans="2:9" ht="14.25">
      <c r="B12" s="28" t="s">
        <v>55</v>
      </c>
      <c r="C12" s="213">
        <v>0</v>
      </c>
      <c r="D12" s="178"/>
      <c r="E12" s="116">
        <v>1000</v>
      </c>
      <c r="F12" s="30"/>
      <c r="G12" s="213">
        <v>0</v>
      </c>
      <c r="H12" s="152"/>
      <c r="I12" s="116">
        <v>1000</v>
      </c>
    </row>
    <row r="13" spans="2:9" ht="14.25">
      <c r="B13" s="28" t="s">
        <v>56</v>
      </c>
      <c r="C13" s="213">
        <v>25</v>
      </c>
      <c r="D13" s="178"/>
      <c r="E13" s="116">
        <v>1000</v>
      </c>
      <c r="F13" s="30"/>
      <c r="G13" s="213">
        <v>245</v>
      </c>
      <c r="H13" s="152"/>
      <c r="I13" s="116">
        <v>1000</v>
      </c>
    </row>
    <row r="14" spans="2:9" ht="14.25">
      <c r="B14" s="28" t="s">
        <v>57</v>
      </c>
      <c r="C14" s="213">
        <v>0</v>
      </c>
      <c r="D14" s="178"/>
      <c r="E14" s="116">
        <v>1000</v>
      </c>
      <c r="F14" s="30"/>
      <c r="G14" s="213">
        <v>245</v>
      </c>
      <c r="H14" s="152"/>
      <c r="I14" s="116">
        <v>1000</v>
      </c>
    </row>
    <row r="15" spans="2:9" ht="14.25">
      <c r="B15" s="28" t="s">
        <v>58</v>
      </c>
      <c r="C15" s="213">
        <v>407.69</v>
      </c>
      <c r="D15" s="178"/>
      <c r="E15" s="116">
        <v>1000</v>
      </c>
      <c r="F15" s="30"/>
      <c r="G15" s="213">
        <v>592.38</v>
      </c>
      <c r="H15" s="152"/>
      <c r="I15" s="116">
        <v>1000</v>
      </c>
    </row>
    <row r="16" spans="2:9" ht="14.25">
      <c r="B16" s="28" t="s">
        <v>190</v>
      </c>
      <c r="C16" s="246">
        <v>0</v>
      </c>
      <c r="D16" s="178"/>
      <c r="E16" s="247">
        <v>0</v>
      </c>
      <c r="F16" s="30"/>
      <c r="G16" s="246">
        <v>245</v>
      </c>
      <c r="H16" s="152"/>
      <c r="I16" s="247">
        <v>1000</v>
      </c>
    </row>
    <row r="17" spans="2:9" ht="15" thickBot="1">
      <c r="B17" s="28" t="s">
        <v>188</v>
      </c>
      <c r="C17" s="224">
        <v>3680</v>
      </c>
      <c r="D17" s="178"/>
      <c r="E17" s="219">
        <v>15000</v>
      </c>
      <c r="F17" s="30"/>
      <c r="G17" s="224">
        <v>9559.23</v>
      </c>
      <c r="H17" s="152"/>
      <c r="I17" s="219">
        <v>12000</v>
      </c>
    </row>
    <row r="18" spans="2:9" s="72" customFormat="1" ht="16.5" thickBot="1">
      <c r="B18" s="98" t="s">
        <v>39</v>
      </c>
      <c r="C18" s="92">
        <f>SUM(C19:C51)</f>
        <v>303415.45999999996</v>
      </c>
      <c r="D18" s="180"/>
      <c r="E18" s="92">
        <f>SUM(E19:E51)</f>
        <v>373088</v>
      </c>
      <c r="F18" s="157"/>
      <c r="G18" s="92">
        <f>SUM(G19:G51)</f>
        <v>377241.91000000003</v>
      </c>
      <c r="H18" s="151"/>
      <c r="I18" s="92">
        <f>SUM(I19:I51)</f>
        <v>437973</v>
      </c>
    </row>
    <row r="19" spans="2:9" ht="14.25" customHeight="1">
      <c r="B19" s="2" t="s">
        <v>100</v>
      </c>
      <c r="C19" s="213">
        <v>2373.5</v>
      </c>
      <c r="D19" s="177"/>
      <c r="E19" s="248">
        <v>11500</v>
      </c>
      <c r="F19" s="30"/>
      <c r="G19" s="213">
        <v>6152.5</v>
      </c>
      <c r="H19" s="152"/>
      <c r="I19" s="116">
        <v>11500</v>
      </c>
    </row>
    <row r="20" spans="2:9" ht="14.25" customHeight="1">
      <c r="B20" s="2" t="s">
        <v>101</v>
      </c>
      <c r="C20" s="211">
        <v>2000</v>
      </c>
      <c r="D20" s="177"/>
      <c r="E20" s="249">
        <v>3000</v>
      </c>
      <c r="F20" s="30"/>
      <c r="G20" s="211">
        <v>391.03</v>
      </c>
      <c r="H20" s="153"/>
      <c r="I20" s="123">
        <v>3000</v>
      </c>
    </row>
    <row r="21" spans="2:9" ht="14.25">
      <c r="B21" s="28" t="s">
        <v>102</v>
      </c>
      <c r="C21" s="213">
        <v>257.65</v>
      </c>
      <c r="D21" s="178"/>
      <c r="E21" s="248">
        <v>987</v>
      </c>
      <c r="F21" s="30"/>
      <c r="G21" s="213">
        <v>246.2</v>
      </c>
      <c r="H21" s="152"/>
      <c r="I21" s="212">
        <v>1000</v>
      </c>
    </row>
    <row r="22" spans="2:9" ht="14.25" customHeight="1">
      <c r="B22" s="2" t="s">
        <v>103</v>
      </c>
      <c r="C22" s="211">
        <v>0</v>
      </c>
      <c r="D22" s="177"/>
      <c r="E22" s="249">
        <v>1000</v>
      </c>
      <c r="F22" s="30"/>
      <c r="G22" s="211">
        <v>7971.5</v>
      </c>
      <c r="H22" s="153"/>
      <c r="I22" s="123">
        <v>1000</v>
      </c>
    </row>
    <row r="23" spans="2:9" ht="14.25" customHeight="1">
      <c r="B23" s="2" t="s">
        <v>104</v>
      </c>
      <c r="C23" s="211">
        <v>280.5</v>
      </c>
      <c r="D23" s="177"/>
      <c r="E23" s="249">
        <v>1500</v>
      </c>
      <c r="F23" s="30"/>
      <c r="G23" s="211">
        <v>892.92</v>
      </c>
      <c r="H23" s="153"/>
      <c r="I23" s="123">
        <v>1500</v>
      </c>
    </row>
    <row r="24" spans="2:9" ht="14.25" customHeight="1">
      <c r="B24" s="2" t="s">
        <v>218</v>
      </c>
      <c r="C24" s="211">
        <v>1036</v>
      </c>
      <c r="D24" s="177"/>
      <c r="E24" s="249">
        <v>6500</v>
      </c>
      <c r="F24" s="30"/>
      <c r="G24" s="211">
        <v>960.91</v>
      </c>
      <c r="H24" s="153"/>
      <c r="I24" s="211">
        <v>7500</v>
      </c>
    </row>
    <row r="25" spans="2:9" ht="14.25" customHeight="1">
      <c r="B25" s="2" t="s">
        <v>105</v>
      </c>
      <c r="C25" s="211">
        <v>292</v>
      </c>
      <c r="D25" s="177"/>
      <c r="E25" s="249">
        <v>200</v>
      </c>
      <c r="F25" s="30"/>
      <c r="G25" s="211">
        <v>355</v>
      </c>
      <c r="H25" s="153"/>
      <c r="I25" s="211">
        <v>400</v>
      </c>
    </row>
    <row r="26" spans="2:9" ht="14.25" customHeight="1">
      <c r="B26" s="2" t="s">
        <v>106</v>
      </c>
      <c r="C26" s="211">
        <v>2000</v>
      </c>
      <c r="D26" s="177"/>
      <c r="E26" s="249">
        <v>2000</v>
      </c>
      <c r="F26" s="30"/>
      <c r="G26" s="211">
        <v>2000</v>
      </c>
      <c r="H26" s="153"/>
      <c r="I26" s="211">
        <v>2000</v>
      </c>
    </row>
    <row r="27" spans="2:9" ht="14.25" customHeight="1">
      <c r="B27" s="2" t="s">
        <v>107</v>
      </c>
      <c r="C27" s="211">
        <v>860.1</v>
      </c>
      <c r="D27" s="177"/>
      <c r="E27" s="249">
        <v>2000</v>
      </c>
      <c r="F27" s="30"/>
      <c r="G27" s="211">
        <v>134.11</v>
      </c>
      <c r="H27" s="153"/>
      <c r="I27" s="123">
        <v>1555</v>
      </c>
    </row>
    <row r="28" spans="2:9" ht="14.25" customHeight="1">
      <c r="B28" s="2" t="s">
        <v>108</v>
      </c>
      <c r="C28" s="211">
        <v>2890</v>
      </c>
      <c r="D28" s="177"/>
      <c r="E28" s="249">
        <v>3170</v>
      </c>
      <c r="F28" s="30"/>
      <c r="G28" s="211">
        <v>3170</v>
      </c>
      <c r="H28" s="153"/>
      <c r="I28" s="211">
        <v>3830</v>
      </c>
    </row>
    <row r="29" spans="2:9" ht="14.25" customHeight="1">
      <c r="B29" s="2" t="s">
        <v>109</v>
      </c>
      <c r="C29" s="211">
        <f>27016.14+2557.5+537.5</f>
        <v>30111.14</v>
      </c>
      <c r="D29" s="177"/>
      <c r="E29" s="211">
        <v>30000</v>
      </c>
      <c r="F29" s="30"/>
      <c r="G29" s="211">
        <f>20379.51+2773.52+900.9</f>
        <v>24053.93</v>
      </c>
      <c r="H29" s="153"/>
      <c r="I29" s="211">
        <v>17500</v>
      </c>
    </row>
    <row r="30" spans="2:9" ht="14.25" customHeight="1">
      <c r="B30" s="2" t="s">
        <v>110</v>
      </c>
      <c r="C30" s="211">
        <v>3616.05</v>
      </c>
      <c r="D30" s="177"/>
      <c r="E30" s="249">
        <v>7189</v>
      </c>
      <c r="F30" s="30"/>
      <c r="G30" s="211">
        <v>7131.2</v>
      </c>
      <c r="H30" s="153"/>
      <c r="I30" s="211">
        <v>7200</v>
      </c>
    </row>
    <row r="31" spans="2:9" ht="14.25" customHeight="1">
      <c r="B31" s="2" t="s">
        <v>111</v>
      </c>
      <c r="C31" s="211">
        <v>444.57</v>
      </c>
      <c r="D31" s="177"/>
      <c r="E31" s="249">
        <v>1000</v>
      </c>
      <c r="F31" s="30"/>
      <c r="G31" s="211">
        <v>2000</v>
      </c>
      <c r="H31" s="153"/>
      <c r="I31" s="123">
        <v>2000</v>
      </c>
    </row>
    <row r="32" spans="2:9" ht="14.25" customHeight="1">
      <c r="B32" s="2" t="s">
        <v>112</v>
      </c>
      <c r="C32" s="211">
        <v>1000</v>
      </c>
      <c r="D32" s="177"/>
      <c r="E32" s="249">
        <v>1000</v>
      </c>
      <c r="F32" s="30"/>
      <c r="G32" s="211">
        <v>0</v>
      </c>
      <c r="H32" s="153"/>
      <c r="I32" s="123">
        <v>0</v>
      </c>
    </row>
    <row r="33" spans="2:9" ht="14.25" customHeight="1">
      <c r="B33" s="2" t="s">
        <v>113</v>
      </c>
      <c r="C33" s="211">
        <v>5205.7</v>
      </c>
      <c r="D33" s="177"/>
      <c r="E33" s="249">
        <v>6000</v>
      </c>
      <c r="F33" s="30"/>
      <c r="G33" s="211">
        <v>5000</v>
      </c>
      <c r="H33" s="153"/>
      <c r="I33" s="123">
        <v>6000</v>
      </c>
    </row>
    <row r="34" spans="2:9" ht="14.25" customHeight="1">
      <c r="B34" s="2" t="s">
        <v>114</v>
      </c>
      <c r="C34" s="211">
        <v>500</v>
      </c>
      <c r="D34" s="177"/>
      <c r="E34" s="249">
        <v>500</v>
      </c>
      <c r="F34" s="30"/>
      <c r="G34" s="211">
        <v>0</v>
      </c>
      <c r="H34" s="153"/>
      <c r="I34" s="123">
        <v>500</v>
      </c>
    </row>
    <row r="35" spans="2:9" ht="14.25" customHeight="1">
      <c r="B35" s="2" t="s">
        <v>115</v>
      </c>
      <c r="C35" s="211">
        <f>20675.25</f>
        <v>20675.25</v>
      </c>
      <c r="D35" s="177"/>
      <c r="E35" s="211">
        <f>320+22400</f>
        <v>22720</v>
      </c>
      <c r="F35" s="30"/>
      <c r="G35" s="211">
        <f>319.8+4794.36-2000</f>
        <v>3114.16</v>
      </c>
      <c r="H35" s="153"/>
      <c r="I35" s="211">
        <v>21000</v>
      </c>
    </row>
    <row r="36" spans="2:9" ht="14.25" customHeight="1">
      <c r="B36" s="2" t="s">
        <v>116</v>
      </c>
      <c r="C36" s="211">
        <v>0</v>
      </c>
      <c r="D36" s="177"/>
      <c r="E36" s="249">
        <v>1900</v>
      </c>
      <c r="F36" s="30"/>
      <c r="G36" s="211">
        <v>0</v>
      </c>
      <c r="H36" s="153"/>
      <c r="I36" s="123">
        <v>1500</v>
      </c>
    </row>
    <row r="37" spans="2:9" ht="14.25" customHeight="1">
      <c r="B37" s="2" t="s">
        <v>117</v>
      </c>
      <c r="C37" s="211">
        <v>0</v>
      </c>
      <c r="D37" s="177"/>
      <c r="E37" s="249">
        <v>20</v>
      </c>
      <c r="F37" s="30"/>
      <c r="G37" s="211">
        <v>0</v>
      </c>
      <c r="H37" s="153"/>
      <c r="I37" s="123">
        <v>400</v>
      </c>
    </row>
    <row r="38" spans="2:9" ht="14.25" customHeight="1">
      <c r="B38" s="2" t="s">
        <v>204</v>
      </c>
      <c r="C38" s="211">
        <v>3561.95</v>
      </c>
      <c r="D38" s="177"/>
      <c r="E38" s="249">
        <v>6960</v>
      </c>
      <c r="F38" s="30"/>
      <c r="G38" s="211">
        <v>6195.72</v>
      </c>
      <c r="H38" s="153"/>
      <c r="I38" s="211">
        <v>9838</v>
      </c>
    </row>
    <row r="39" spans="2:9" ht="14.25" customHeight="1">
      <c r="B39" s="2" t="s">
        <v>205</v>
      </c>
      <c r="C39" s="211">
        <v>52</v>
      </c>
      <c r="D39" s="177"/>
      <c r="E39" s="249">
        <v>900</v>
      </c>
      <c r="F39" s="30"/>
      <c r="G39" s="211">
        <v>0</v>
      </c>
      <c r="H39" s="153"/>
      <c r="I39" s="249">
        <v>900</v>
      </c>
    </row>
    <row r="40" spans="2:9" ht="14.25" customHeight="1">
      <c r="B40" s="2" t="s">
        <v>206</v>
      </c>
      <c r="C40" s="211">
        <v>900</v>
      </c>
      <c r="D40" s="177"/>
      <c r="E40" s="249">
        <v>900</v>
      </c>
      <c r="F40" s="30"/>
      <c r="G40" s="211">
        <v>900</v>
      </c>
      <c r="H40" s="153"/>
      <c r="I40" s="249">
        <v>900</v>
      </c>
    </row>
    <row r="41" spans="2:9" ht="14.25" customHeight="1">
      <c r="B41" s="2" t="s">
        <v>207</v>
      </c>
      <c r="C41" s="211">
        <v>900</v>
      </c>
      <c r="D41" s="177"/>
      <c r="E41" s="249">
        <v>900</v>
      </c>
      <c r="F41" s="30"/>
      <c r="G41" s="211">
        <v>900</v>
      </c>
      <c r="H41" s="153"/>
      <c r="I41" s="249">
        <v>900</v>
      </c>
    </row>
    <row r="42" spans="2:9" ht="14.25" customHeight="1">
      <c r="B42" s="2" t="s">
        <v>208</v>
      </c>
      <c r="C42" s="211">
        <v>900</v>
      </c>
      <c r="D42" s="177"/>
      <c r="E42" s="249">
        <v>900</v>
      </c>
      <c r="F42" s="30"/>
      <c r="G42" s="211">
        <v>900</v>
      </c>
      <c r="H42" s="153"/>
      <c r="I42" s="249">
        <v>900</v>
      </c>
    </row>
    <row r="43" spans="2:9" ht="14.25" customHeight="1">
      <c r="B43" s="2" t="s">
        <v>209</v>
      </c>
      <c r="C43" s="211">
        <v>900</v>
      </c>
      <c r="D43" s="177"/>
      <c r="E43" s="249">
        <v>900</v>
      </c>
      <c r="F43" s="30"/>
      <c r="G43" s="211">
        <v>900</v>
      </c>
      <c r="H43" s="153"/>
      <c r="I43" s="249">
        <v>900</v>
      </c>
    </row>
    <row r="44" spans="2:9" ht="14.25" customHeight="1">
      <c r="B44" s="2" t="s">
        <v>210</v>
      </c>
      <c r="C44" s="211">
        <f>23006.58+44528.1+14075.8</f>
        <v>81610.48</v>
      </c>
      <c r="D44" s="177"/>
      <c r="E44" s="249">
        <v>85000</v>
      </c>
      <c r="F44" s="30"/>
      <c r="G44" s="211">
        <f>26527.13+47053.69+13969.79</f>
        <v>87550.61000000002</v>
      </c>
      <c r="H44" s="153"/>
      <c r="I44" s="123">
        <v>106000</v>
      </c>
    </row>
    <row r="45" spans="2:9" ht="14.25" customHeight="1">
      <c r="B45" s="6" t="s">
        <v>211</v>
      </c>
      <c r="C45" s="211">
        <f>24442.83+7298.27</f>
        <v>31741.100000000002</v>
      </c>
      <c r="D45" s="181"/>
      <c r="E45" s="249">
        <v>40000</v>
      </c>
      <c r="F45" s="33"/>
      <c r="G45" s="211">
        <f>35784.4+11084.93</f>
        <v>46869.33</v>
      </c>
      <c r="H45" s="153"/>
      <c r="I45" s="211">
        <v>88500</v>
      </c>
    </row>
    <row r="46" spans="2:9" ht="14.25" customHeight="1">
      <c r="B46" s="6" t="s">
        <v>212</v>
      </c>
      <c r="C46" s="211">
        <v>0</v>
      </c>
      <c r="D46" s="181"/>
      <c r="E46" s="249">
        <v>0</v>
      </c>
      <c r="F46" s="33"/>
      <c r="G46" s="211">
        <v>0</v>
      </c>
      <c r="H46" s="153"/>
      <c r="I46" s="211">
        <v>45000</v>
      </c>
    </row>
    <row r="47" spans="2:9" ht="14.25" customHeight="1">
      <c r="B47" s="6" t="s">
        <v>213</v>
      </c>
      <c r="C47" s="211">
        <f>21276.77+5690.94</f>
        <v>26967.71</v>
      </c>
      <c r="D47" s="181"/>
      <c r="E47" s="249">
        <v>27942</v>
      </c>
      <c r="F47" s="33"/>
      <c r="G47" s="211">
        <f>25248.81+7293.22+2407.5</f>
        <v>34949.53</v>
      </c>
      <c r="H47" s="153"/>
      <c r="I47" s="123">
        <v>2000</v>
      </c>
    </row>
    <row r="48" spans="2:9" ht="14.25" customHeight="1">
      <c r="B48" s="6" t="s">
        <v>214</v>
      </c>
      <c r="C48" s="211">
        <f>218.9</f>
        <v>218.9</v>
      </c>
      <c r="D48" s="181"/>
      <c r="E48" s="211">
        <v>24000</v>
      </c>
      <c r="F48" s="33"/>
      <c r="G48" s="211">
        <f>8368.58+6000+28411.79</f>
        <v>42780.37</v>
      </c>
      <c r="H48" s="153"/>
      <c r="I48" s="211">
        <v>10000</v>
      </c>
    </row>
    <row r="49" spans="2:9" ht="14.25" customHeight="1">
      <c r="B49" s="2" t="s">
        <v>215</v>
      </c>
      <c r="C49" s="213">
        <v>7692</v>
      </c>
      <c r="D49" s="177"/>
      <c r="E49" s="242">
        <v>9500</v>
      </c>
      <c r="F49" s="30"/>
      <c r="G49" s="213">
        <v>16750.56</v>
      </c>
      <c r="H49" s="153"/>
      <c r="I49" s="213">
        <f>10000+7650</f>
        <v>17650</v>
      </c>
    </row>
    <row r="50" spans="2:9" ht="14.25" customHeight="1">
      <c r="B50" s="2" t="s">
        <v>216</v>
      </c>
      <c r="C50" s="214">
        <f>32990.72+30850.96+10587.18</f>
        <v>74428.86</v>
      </c>
      <c r="D50" s="177"/>
      <c r="E50" s="214">
        <v>67000</v>
      </c>
      <c r="F50" s="30"/>
      <c r="G50" s="214">
        <f>34922.94+32928.35+6741.94</f>
        <v>74593.23000000001</v>
      </c>
      <c r="H50" s="153"/>
      <c r="I50" s="214">
        <v>59100</v>
      </c>
    </row>
    <row r="51" spans="2:9" ht="14.25" customHeight="1" thickBot="1">
      <c r="B51" s="6" t="s">
        <v>217</v>
      </c>
      <c r="C51" s="224">
        <v>0</v>
      </c>
      <c r="D51" s="181"/>
      <c r="E51" s="244">
        <v>6000</v>
      </c>
      <c r="F51" s="33"/>
      <c r="G51" s="224">
        <f>392.1-13</f>
        <v>379.1</v>
      </c>
      <c r="H51" s="153"/>
      <c r="I51" s="124">
        <v>6000</v>
      </c>
    </row>
    <row r="52" spans="2:9" s="72" customFormat="1" ht="16.5" customHeight="1" thickBot="1">
      <c r="B52" s="78" t="s">
        <v>2</v>
      </c>
      <c r="C52" s="92">
        <f>SUM(C53:C62)</f>
        <v>77411.55</v>
      </c>
      <c r="D52" s="179"/>
      <c r="E52" s="92">
        <f>SUM(E53:E62)</f>
        <v>108136</v>
      </c>
      <c r="F52" s="156"/>
      <c r="G52" s="92">
        <f>SUM(G53:G62)</f>
        <v>147175.1</v>
      </c>
      <c r="H52" s="151"/>
      <c r="I52" s="92">
        <f>SUM(I53:I62)</f>
        <v>156136</v>
      </c>
    </row>
    <row r="53" spans="2:9" ht="14.25" customHeight="1">
      <c r="B53" s="2" t="s">
        <v>89</v>
      </c>
      <c r="C53" s="216">
        <v>531.88</v>
      </c>
      <c r="D53" s="177"/>
      <c r="E53" s="113">
        <v>1000</v>
      </c>
      <c r="F53" s="30"/>
      <c r="G53" s="216">
        <v>852.26</v>
      </c>
      <c r="H53" s="152"/>
      <c r="I53" s="113">
        <v>1000</v>
      </c>
    </row>
    <row r="54" spans="2:9" ht="14.25" customHeight="1">
      <c r="B54" s="2" t="s">
        <v>90</v>
      </c>
      <c r="C54" s="216">
        <v>313</v>
      </c>
      <c r="D54" s="177"/>
      <c r="E54" s="113">
        <v>1500</v>
      </c>
      <c r="F54" s="30"/>
      <c r="G54" s="216">
        <v>698.71</v>
      </c>
      <c r="H54" s="152"/>
      <c r="I54" s="113">
        <v>1000</v>
      </c>
    </row>
    <row r="55" spans="2:9" ht="14.25" customHeight="1">
      <c r="B55" s="2" t="s">
        <v>99</v>
      </c>
      <c r="C55" s="216">
        <v>322.77</v>
      </c>
      <c r="D55" s="177"/>
      <c r="E55" s="113">
        <v>1000</v>
      </c>
      <c r="F55" s="30"/>
      <c r="G55" s="216">
        <v>384.9</v>
      </c>
      <c r="H55" s="152"/>
      <c r="I55" s="113">
        <v>1000</v>
      </c>
    </row>
    <row r="56" spans="2:9" ht="14.25" customHeight="1">
      <c r="B56" s="2" t="s">
        <v>91</v>
      </c>
      <c r="C56" s="212">
        <v>0</v>
      </c>
      <c r="D56" s="177"/>
      <c r="E56" s="116">
        <v>1000</v>
      </c>
      <c r="F56" s="30"/>
      <c r="G56" s="212">
        <v>0</v>
      </c>
      <c r="H56" s="152"/>
      <c r="I56" s="116">
        <v>1000</v>
      </c>
    </row>
    <row r="57" spans="2:9" ht="14.25" customHeight="1">
      <c r="B57" s="2" t="s">
        <v>92</v>
      </c>
      <c r="C57" s="212">
        <v>48133.54</v>
      </c>
      <c r="D57" s="177"/>
      <c r="E57" s="116">
        <v>75000</v>
      </c>
      <c r="F57" s="30"/>
      <c r="G57" s="212">
        <f>99897.67-7490</f>
        <v>92407.67</v>
      </c>
      <c r="H57" s="152"/>
      <c r="I57" s="212">
        <v>90500</v>
      </c>
    </row>
    <row r="58" spans="2:9" ht="14.25" customHeight="1">
      <c r="B58" s="6" t="s">
        <v>93</v>
      </c>
      <c r="C58" s="212">
        <v>21636</v>
      </c>
      <c r="D58" s="181"/>
      <c r="E58" s="212">
        <v>21636</v>
      </c>
      <c r="F58" s="33"/>
      <c r="G58" s="212">
        <v>21636</v>
      </c>
      <c r="H58" s="152"/>
      <c r="I58" s="212">
        <v>21636</v>
      </c>
    </row>
    <row r="59" spans="2:9" ht="14.25" customHeight="1">
      <c r="B59" s="2" t="s">
        <v>94</v>
      </c>
      <c r="C59" s="212">
        <f>2836.36+3638</f>
        <v>6474.360000000001</v>
      </c>
      <c r="D59" s="177"/>
      <c r="E59" s="116">
        <v>6500</v>
      </c>
      <c r="F59" s="30"/>
      <c r="G59" s="212">
        <f>3696.56+20009</f>
        <v>23705.56</v>
      </c>
      <c r="H59" s="152"/>
      <c r="I59" s="116">
        <v>25500</v>
      </c>
    </row>
    <row r="60" spans="2:9" ht="14.25" customHeight="1">
      <c r="B60" s="2" t="s">
        <v>195</v>
      </c>
      <c r="C60" s="217">
        <v>0</v>
      </c>
      <c r="D60" s="177"/>
      <c r="E60" s="121">
        <v>0</v>
      </c>
      <c r="F60" s="30"/>
      <c r="G60" s="217">
        <v>7490</v>
      </c>
      <c r="H60" s="152"/>
      <c r="I60" s="121">
        <v>13000</v>
      </c>
    </row>
    <row r="61" spans="2:9" ht="14.25" customHeight="1">
      <c r="B61" s="2" t="s">
        <v>196</v>
      </c>
      <c r="C61" s="217">
        <v>0</v>
      </c>
      <c r="D61" s="177"/>
      <c r="E61" s="121">
        <v>0</v>
      </c>
      <c r="F61" s="30"/>
      <c r="G61" s="217">
        <v>0</v>
      </c>
      <c r="H61" s="152"/>
      <c r="I61" s="121">
        <v>1000</v>
      </c>
    </row>
    <row r="62" spans="2:9" ht="14.25" customHeight="1" thickBot="1">
      <c r="B62" s="7" t="s">
        <v>197</v>
      </c>
      <c r="C62" s="219">
        <v>0</v>
      </c>
      <c r="D62" s="177"/>
      <c r="E62" s="119">
        <v>500</v>
      </c>
      <c r="F62" s="30"/>
      <c r="G62" s="219">
        <v>0</v>
      </c>
      <c r="H62" s="152"/>
      <c r="I62" s="119">
        <v>500</v>
      </c>
    </row>
    <row r="63" spans="2:9" s="72" customFormat="1" ht="16.5" customHeight="1" thickBot="1">
      <c r="B63" s="78" t="s">
        <v>3</v>
      </c>
      <c r="C63" s="92">
        <f>SUM(C64:C67)</f>
        <v>40074.3</v>
      </c>
      <c r="D63" s="179"/>
      <c r="E63" s="92">
        <f>SUM(E64:E67)</f>
        <v>42000</v>
      </c>
      <c r="F63" s="156"/>
      <c r="G63" s="92">
        <f>SUM(G64:G67)</f>
        <v>39691.45</v>
      </c>
      <c r="H63" s="151"/>
      <c r="I63" s="92">
        <f>SUM(I64:I67)</f>
        <v>42500</v>
      </c>
    </row>
    <row r="64" spans="2:9" ht="14.25" customHeight="1">
      <c r="B64" s="2" t="s">
        <v>144</v>
      </c>
      <c r="C64" s="213">
        <v>17560</v>
      </c>
      <c r="D64" s="177"/>
      <c r="E64" s="212">
        <v>18000</v>
      </c>
      <c r="F64" s="30"/>
      <c r="G64" s="213">
        <v>18000</v>
      </c>
      <c r="H64" s="152"/>
      <c r="I64" s="212">
        <v>18500</v>
      </c>
    </row>
    <row r="65" spans="2:9" ht="14.25" customHeight="1">
      <c r="B65" s="7" t="s">
        <v>145</v>
      </c>
      <c r="C65" s="214">
        <v>3514.3</v>
      </c>
      <c r="D65" s="177"/>
      <c r="E65" s="217">
        <v>3500</v>
      </c>
      <c r="F65" s="30"/>
      <c r="G65" s="214">
        <v>1191.45</v>
      </c>
      <c r="H65" s="152"/>
      <c r="I65" s="217">
        <v>2500</v>
      </c>
    </row>
    <row r="66" spans="2:9" ht="14.25" customHeight="1">
      <c r="B66" s="2" t="s">
        <v>146</v>
      </c>
      <c r="C66" s="213">
        <v>6000</v>
      </c>
      <c r="D66" s="177"/>
      <c r="E66" s="116">
        <v>6500</v>
      </c>
      <c r="F66" s="30"/>
      <c r="G66" s="213">
        <v>6500</v>
      </c>
      <c r="H66" s="152"/>
      <c r="I66" s="212">
        <v>7000</v>
      </c>
    </row>
    <row r="67" spans="2:9" ht="14.25" customHeight="1" thickBot="1">
      <c r="B67" s="29" t="s">
        <v>189</v>
      </c>
      <c r="C67" s="224">
        <v>13000</v>
      </c>
      <c r="D67" s="177"/>
      <c r="E67" s="119">
        <v>14000</v>
      </c>
      <c r="F67" s="30"/>
      <c r="G67" s="224">
        <v>14000</v>
      </c>
      <c r="H67" s="152"/>
      <c r="I67" s="219">
        <v>14500</v>
      </c>
    </row>
    <row r="68" spans="2:9" s="72" customFormat="1" ht="16.5" customHeight="1" thickBot="1">
      <c r="B68" s="78" t="s">
        <v>4</v>
      </c>
      <c r="C68" s="92">
        <f>SUM(C69:C83)</f>
        <v>732078.07</v>
      </c>
      <c r="D68" s="179"/>
      <c r="E68" s="92">
        <f>SUM(E69:E83)</f>
        <v>904500</v>
      </c>
      <c r="F68" s="156"/>
      <c r="G68" s="92">
        <f>SUM(G69:G83)</f>
        <v>833783.8500000001</v>
      </c>
      <c r="H68" s="151"/>
      <c r="I68" s="92">
        <f>SUM(I69:I83)</f>
        <v>1235825</v>
      </c>
    </row>
    <row r="69" spans="2:9" ht="14.25" customHeight="1">
      <c r="B69" s="2" t="s">
        <v>59</v>
      </c>
      <c r="C69" s="215">
        <v>28208</v>
      </c>
      <c r="D69" s="177"/>
      <c r="E69" s="210">
        <v>29000</v>
      </c>
      <c r="F69" s="30"/>
      <c r="G69" s="215">
        <v>20236.91</v>
      </c>
      <c r="H69" s="152"/>
      <c r="I69" s="210">
        <v>25000</v>
      </c>
    </row>
    <row r="70" spans="2:9" ht="14.25" customHeight="1">
      <c r="B70" s="2" t="s">
        <v>128</v>
      </c>
      <c r="C70" s="213">
        <f>1820.82+10357.12</f>
        <v>12177.94</v>
      </c>
      <c r="D70" s="177"/>
      <c r="E70" s="116">
        <v>17000</v>
      </c>
      <c r="F70" s="30"/>
      <c r="G70" s="213">
        <f>654.88+16+1765.56+50+22767.62</f>
        <v>25254.059999999998</v>
      </c>
      <c r="H70" s="152"/>
      <c r="I70" s="212">
        <v>30000</v>
      </c>
    </row>
    <row r="71" spans="2:9" ht="14.25" customHeight="1">
      <c r="B71" s="3" t="s">
        <v>129</v>
      </c>
      <c r="C71" s="213">
        <v>90185.52</v>
      </c>
      <c r="D71" s="182"/>
      <c r="E71" s="212">
        <v>60000</v>
      </c>
      <c r="F71" s="158"/>
      <c r="G71" s="213">
        <v>96393.74</v>
      </c>
      <c r="H71" s="152"/>
      <c r="I71" s="212">
        <v>90000</v>
      </c>
    </row>
    <row r="72" spans="2:9" ht="14.25" customHeight="1">
      <c r="B72" s="3" t="s">
        <v>130</v>
      </c>
      <c r="C72" s="213">
        <v>1263.62</v>
      </c>
      <c r="D72" s="182"/>
      <c r="E72" s="116">
        <v>1700</v>
      </c>
      <c r="F72" s="158"/>
      <c r="G72" s="213">
        <v>1910.16</v>
      </c>
      <c r="H72" s="152"/>
      <c r="I72" s="116">
        <v>2000</v>
      </c>
    </row>
    <row r="73" spans="2:9" ht="14.25" customHeight="1">
      <c r="B73" s="3" t="s">
        <v>131</v>
      </c>
      <c r="C73" s="213">
        <v>444.62</v>
      </c>
      <c r="D73" s="182"/>
      <c r="E73" s="116">
        <v>700</v>
      </c>
      <c r="F73" s="158"/>
      <c r="G73" s="213">
        <v>190.49</v>
      </c>
      <c r="H73" s="152"/>
      <c r="I73" s="116">
        <v>500</v>
      </c>
    </row>
    <row r="74" spans="2:9" ht="14.25" customHeight="1">
      <c r="B74" s="28" t="s">
        <v>132</v>
      </c>
      <c r="C74" s="213">
        <f>183184.72+92883.07+29423.04</f>
        <v>305490.83</v>
      </c>
      <c r="D74" s="178"/>
      <c r="E74" s="212">
        <f>305000+150000</f>
        <v>455000</v>
      </c>
      <c r="F74" s="30"/>
      <c r="G74" s="213">
        <f>163043.7+113717.05+35957.19</f>
        <v>312717.94</v>
      </c>
      <c r="H74" s="152"/>
      <c r="I74" s="212">
        <v>396125</v>
      </c>
    </row>
    <row r="75" spans="2:9" ht="14.25" customHeight="1">
      <c r="B75" s="7" t="s">
        <v>139</v>
      </c>
      <c r="C75" s="213">
        <v>2136.68</v>
      </c>
      <c r="D75" s="177"/>
      <c r="E75" s="116">
        <v>2500</v>
      </c>
      <c r="F75" s="30"/>
      <c r="G75" s="213">
        <v>16496.77</v>
      </c>
      <c r="H75" s="152"/>
      <c r="I75" s="116">
        <v>6000</v>
      </c>
    </row>
    <row r="76" spans="2:9" ht="14.25" customHeight="1">
      <c r="B76" s="2" t="s">
        <v>133</v>
      </c>
      <c r="C76" s="213">
        <f>95921.49+23839.21+7488</f>
        <v>127248.70000000001</v>
      </c>
      <c r="D76" s="177"/>
      <c r="E76" s="212">
        <v>145000</v>
      </c>
      <c r="F76" s="30"/>
      <c r="G76" s="213">
        <f>160232.49+30197.16+9463.58</f>
        <v>199893.22999999998</v>
      </c>
      <c r="H76" s="152"/>
      <c r="I76" s="212">
        <v>307000</v>
      </c>
    </row>
    <row r="77" spans="2:9" ht="14.25" customHeight="1">
      <c r="B77" s="28" t="s">
        <v>134</v>
      </c>
      <c r="C77" s="213">
        <f>16031.73+22648.78+7136.19</f>
        <v>45816.7</v>
      </c>
      <c r="D77" s="177"/>
      <c r="E77" s="212">
        <v>57000</v>
      </c>
      <c r="F77" s="30"/>
      <c r="G77" s="213">
        <f>6725.35+23717.45+7557.48</f>
        <v>38000.28</v>
      </c>
      <c r="H77" s="152"/>
      <c r="I77" s="212">
        <v>39000</v>
      </c>
    </row>
    <row r="78" spans="2:9" ht="14.25" customHeight="1">
      <c r="B78" s="7" t="s">
        <v>135</v>
      </c>
      <c r="C78" s="213">
        <f>1935.02+13175.72+4188.34</f>
        <v>19299.08</v>
      </c>
      <c r="D78" s="177"/>
      <c r="E78" s="212">
        <v>32000</v>
      </c>
      <c r="F78" s="30"/>
      <c r="G78" s="213">
        <f>7098.13+13971.66+4255.09</f>
        <v>25324.88</v>
      </c>
      <c r="H78" s="152"/>
      <c r="I78" s="212">
        <v>26000</v>
      </c>
    </row>
    <row r="79" spans="2:9" ht="14.25" customHeight="1">
      <c r="B79" s="41" t="s">
        <v>152</v>
      </c>
      <c r="C79" s="213">
        <f>22771.99+48810.05+15402.12</f>
        <v>86984.16</v>
      </c>
      <c r="D79" s="170"/>
      <c r="E79" s="116">
        <v>90000</v>
      </c>
      <c r="F79" s="136"/>
      <c r="G79" s="213">
        <f>23812.26+51602.26+10494.89</f>
        <v>85909.41</v>
      </c>
      <c r="H79" s="152"/>
      <c r="I79" s="116">
        <v>93200</v>
      </c>
    </row>
    <row r="80" spans="2:9" ht="14.25" customHeight="1">
      <c r="B80" s="202" t="s">
        <v>153</v>
      </c>
      <c r="C80" s="214">
        <v>1811.52</v>
      </c>
      <c r="D80" s="183"/>
      <c r="E80" s="147">
        <v>2000</v>
      </c>
      <c r="F80" s="136"/>
      <c r="G80" s="214">
        <v>2299.28</v>
      </c>
      <c r="H80" s="154"/>
      <c r="I80" s="147">
        <v>2400</v>
      </c>
    </row>
    <row r="81" spans="2:9" ht="14.25" customHeight="1">
      <c r="B81" s="202" t="s">
        <v>201</v>
      </c>
      <c r="C81" s="214">
        <v>0</v>
      </c>
      <c r="D81" s="183"/>
      <c r="E81" s="147">
        <v>0</v>
      </c>
      <c r="F81" s="136"/>
      <c r="G81" s="214">
        <v>0</v>
      </c>
      <c r="H81" s="154"/>
      <c r="I81" s="147">
        <v>206000</v>
      </c>
    </row>
    <row r="82" spans="2:9" ht="14.25" customHeight="1">
      <c r="B82" s="202" t="s">
        <v>202</v>
      </c>
      <c r="C82" s="214">
        <v>11000</v>
      </c>
      <c r="D82" s="183"/>
      <c r="E82" s="147">
        <v>12000</v>
      </c>
      <c r="F82" s="136"/>
      <c r="G82" s="214">
        <v>9156.7</v>
      </c>
      <c r="H82" s="154"/>
      <c r="I82" s="147">
        <v>12000</v>
      </c>
    </row>
    <row r="83" spans="2:9" ht="14.25" customHeight="1" thickBot="1">
      <c r="B83" s="202" t="s">
        <v>220</v>
      </c>
      <c r="C83" s="224">
        <v>10.7</v>
      </c>
      <c r="D83" s="183"/>
      <c r="E83" s="218">
        <v>600</v>
      </c>
      <c r="F83" s="136"/>
      <c r="G83" s="224">
        <v>0</v>
      </c>
      <c r="H83" s="154"/>
      <c r="I83" s="218">
        <v>600</v>
      </c>
    </row>
    <row r="84" spans="2:9" s="71" customFormat="1" ht="18" customHeight="1" thickBot="1">
      <c r="B84" s="14"/>
      <c r="C84" s="17"/>
      <c r="D84" s="30"/>
      <c r="E84" s="17"/>
      <c r="F84" s="30"/>
      <c r="G84" s="17"/>
      <c r="H84" s="17"/>
      <c r="I84" s="17"/>
    </row>
    <row r="85" spans="2:9" s="71" customFormat="1" ht="32.25" thickBot="1">
      <c r="B85" s="101" t="s">
        <v>5</v>
      </c>
      <c r="C85" s="91">
        <f>SUM(C87:C93)</f>
        <v>1835010.4300000002</v>
      </c>
      <c r="D85" s="184"/>
      <c r="E85" s="91">
        <f>SUM(E87:E93)</f>
        <v>1843000</v>
      </c>
      <c r="F85" s="159"/>
      <c r="G85" s="91">
        <f>SUM(G87:G93)</f>
        <v>1901223.6999999997</v>
      </c>
      <c r="H85" s="150"/>
      <c r="I85" s="91">
        <f>SUM(I87:I93)</f>
        <v>2065000</v>
      </c>
    </row>
    <row r="86" spans="2:9" s="71" customFormat="1" ht="9" customHeight="1" thickBot="1">
      <c r="B86" s="15"/>
      <c r="C86" s="17"/>
      <c r="D86" s="30"/>
      <c r="E86" s="17"/>
      <c r="F86" s="30"/>
      <c r="G86" s="17"/>
      <c r="H86" s="17"/>
      <c r="I86" s="17"/>
    </row>
    <row r="87" spans="2:9" ht="14.25">
      <c r="B87" s="27" t="s">
        <v>60</v>
      </c>
      <c r="C87" s="215">
        <v>1023823.32</v>
      </c>
      <c r="D87" s="178"/>
      <c r="E87" s="210">
        <v>1019000</v>
      </c>
      <c r="F87" s="30"/>
      <c r="G87" s="215">
        <v>1008330.99</v>
      </c>
      <c r="H87" s="152"/>
      <c r="I87" s="210">
        <v>1063700</v>
      </c>
    </row>
    <row r="88" spans="2:9" ht="12.75" customHeight="1">
      <c r="B88" s="28" t="s">
        <v>61</v>
      </c>
      <c r="C88" s="213">
        <f>137300.8+89731.39</f>
        <v>227032.19</v>
      </c>
      <c r="D88" s="178"/>
      <c r="E88" s="212">
        <v>227300</v>
      </c>
      <c r="F88" s="30"/>
      <c r="G88" s="213">
        <f>118409.79+163093.31</f>
        <v>281503.1</v>
      </c>
      <c r="H88" s="152"/>
      <c r="I88" s="212">
        <v>314000</v>
      </c>
    </row>
    <row r="89" spans="2:9" s="72" customFormat="1" ht="13.5" customHeight="1">
      <c r="B89" s="41" t="s">
        <v>62</v>
      </c>
      <c r="C89" s="213">
        <v>180490</v>
      </c>
      <c r="D89" s="170"/>
      <c r="E89" s="117">
        <v>173500</v>
      </c>
      <c r="F89" s="136"/>
      <c r="G89" s="213">
        <v>179807</v>
      </c>
      <c r="H89" s="153"/>
      <c r="I89" s="213">
        <v>196350</v>
      </c>
    </row>
    <row r="90" spans="2:9" ht="14.25">
      <c r="B90" s="28" t="s">
        <v>147</v>
      </c>
      <c r="C90" s="213">
        <v>205342.83</v>
      </c>
      <c r="D90" s="178"/>
      <c r="E90" s="212">
        <v>211400</v>
      </c>
      <c r="F90" s="30"/>
      <c r="G90" s="213">
        <v>196717.13</v>
      </c>
      <c r="H90" s="152"/>
      <c r="I90" s="212">
        <v>233500</v>
      </c>
    </row>
    <row r="91" spans="2:9" ht="14.25">
      <c r="B91" s="28" t="s">
        <v>148</v>
      </c>
      <c r="C91" s="213">
        <v>17745.48</v>
      </c>
      <c r="D91" s="178"/>
      <c r="E91" s="212">
        <v>18800</v>
      </c>
      <c r="F91" s="30"/>
      <c r="G91" s="213">
        <v>29241.74</v>
      </c>
      <c r="H91" s="152"/>
      <c r="I91" s="212">
        <v>32500</v>
      </c>
    </row>
    <row r="92" spans="2:9" ht="14.25">
      <c r="B92" s="203" t="s">
        <v>149</v>
      </c>
      <c r="C92" s="214">
        <f>164749.82+151</f>
        <v>164900.82</v>
      </c>
      <c r="D92" s="178"/>
      <c r="E92" s="121">
        <v>170000</v>
      </c>
      <c r="F92" s="30"/>
      <c r="G92" s="214">
        <f>165048.92+302</f>
        <v>165350.92</v>
      </c>
      <c r="H92" s="152"/>
      <c r="I92" s="217">
        <v>179950</v>
      </c>
    </row>
    <row r="93" spans="2:9" ht="15" thickBot="1">
      <c r="B93" s="29" t="s">
        <v>150</v>
      </c>
      <c r="C93" s="224">
        <v>15675.79</v>
      </c>
      <c r="D93" s="178"/>
      <c r="E93" s="119">
        <v>23000</v>
      </c>
      <c r="F93" s="30"/>
      <c r="G93" s="224">
        <v>40272.82</v>
      </c>
      <c r="H93" s="152"/>
      <c r="I93" s="219">
        <v>45000</v>
      </c>
    </row>
    <row r="94" spans="2:9" s="71" customFormat="1" ht="15" customHeight="1" thickBot="1">
      <c r="B94" s="14"/>
      <c r="C94" s="17"/>
      <c r="D94" s="30"/>
      <c r="E94" s="17"/>
      <c r="F94" s="30"/>
      <c r="G94" s="17"/>
      <c r="H94" s="17"/>
      <c r="I94" s="17"/>
    </row>
    <row r="95" spans="2:9" s="72" customFormat="1" ht="21" customHeight="1" thickBot="1">
      <c r="B95" s="79" t="s">
        <v>53</v>
      </c>
      <c r="C95" s="91">
        <f>SUM(C97:C98)</f>
        <v>372492.67000000004</v>
      </c>
      <c r="D95" s="185"/>
      <c r="E95" s="91">
        <f>SUM(E97:E98)</f>
        <v>385000</v>
      </c>
      <c r="F95" s="160"/>
      <c r="G95" s="91">
        <f>SUM(G97:G98)</f>
        <v>406627.43</v>
      </c>
      <c r="H95" s="150"/>
      <c r="I95" s="91">
        <f>SUM(I97:I98)</f>
        <v>504800</v>
      </c>
    </row>
    <row r="96" spans="2:9" s="71" customFormat="1" ht="9" customHeight="1" thickBot="1">
      <c r="B96" s="30"/>
      <c r="C96" s="17"/>
      <c r="D96" s="30"/>
      <c r="E96" s="17"/>
      <c r="F96" s="30"/>
      <c r="G96" s="17"/>
      <c r="H96" s="17"/>
      <c r="I96" s="17"/>
    </row>
    <row r="97" spans="2:9" ht="14.25">
      <c r="B97" s="27" t="s">
        <v>63</v>
      </c>
      <c r="C97" s="215">
        <f>13576.63+270628.83</f>
        <v>284205.46</v>
      </c>
      <c r="D97" s="178"/>
      <c r="E97" s="210">
        <v>293000</v>
      </c>
      <c r="F97" s="30"/>
      <c r="G97" s="215">
        <f>14000+305836.87</f>
        <v>319836.87</v>
      </c>
      <c r="H97" s="152"/>
      <c r="I97" s="210">
        <v>412415</v>
      </c>
    </row>
    <row r="98" spans="2:9" ht="15" thickBot="1">
      <c r="B98" s="28" t="s">
        <v>64</v>
      </c>
      <c r="C98" s="224">
        <f>4260.72+84026.49</f>
        <v>88287.21</v>
      </c>
      <c r="D98" s="178"/>
      <c r="E98" s="219">
        <v>92000</v>
      </c>
      <c r="F98" s="30"/>
      <c r="G98" s="224">
        <f>4418.12+82372.44</f>
        <v>86790.56</v>
      </c>
      <c r="H98" s="152"/>
      <c r="I98" s="219">
        <v>92385</v>
      </c>
    </row>
    <row r="99" spans="2:9" ht="12.75" customHeight="1" thickBot="1">
      <c r="B99" s="14"/>
      <c r="C99" s="93"/>
      <c r="D99" s="30"/>
      <c r="E99" s="17"/>
      <c r="F99" s="30"/>
      <c r="G99" s="93"/>
      <c r="H99" s="17"/>
      <c r="I99" s="17"/>
    </row>
    <row r="100" spans="2:9" s="73" customFormat="1" ht="21" customHeight="1" thickBot="1">
      <c r="B100" s="80" t="s">
        <v>6</v>
      </c>
      <c r="C100" s="91">
        <f>SUM(C102:C105)</f>
        <v>214701.2</v>
      </c>
      <c r="D100" s="185"/>
      <c r="E100" s="91">
        <f>SUM(E102:E105)</f>
        <v>216750</v>
      </c>
      <c r="F100" s="160"/>
      <c r="G100" s="91">
        <f>SUM(G102:G105)</f>
        <v>227087.34000000003</v>
      </c>
      <c r="H100" s="150"/>
      <c r="I100" s="91">
        <f>SUM(I102:I105)</f>
        <v>112600</v>
      </c>
    </row>
    <row r="101" spans="1:9" ht="9" customHeight="1" thickBot="1">
      <c r="A101" s="71"/>
      <c r="B101" s="30"/>
      <c r="C101" s="17"/>
      <c r="D101" s="30"/>
      <c r="E101" s="17"/>
      <c r="F101" s="30"/>
      <c r="G101" s="17"/>
      <c r="H101" s="17"/>
      <c r="I101" s="17"/>
    </row>
    <row r="102" spans="2:9" ht="13.5" customHeight="1">
      <c r="B102" s="39" t="s">
        <v>65</v>
      </c>
      <c r="C102" s="215">
        <f>145578+10422</f>
        <v>156000</v>
      </c>
      <c r="D102" s="170"/>
      <c r="E102" s="125">
        <v>156000</v>
      </c>
      <c r="F102" s="136"/>
      <c r="G102" s="215">
        <v>156000</v>
      </c>
      <c r="H102" s="153"/>
      <c r="I102" s="215">
        <v>40000</v>
      </c>
    </row>
    <row r="103" spans="2:9" ht="14.25">
      <c r="B103" s="209" t="s">
        <v>66</v>
      </c>
      <c r="C103" s="213">
        <v>750</v>
      </c>
      <c r="D103" s="178"/>
      <c r="E103" s="212">
        <f>750</f>
        <v>750</v>
      </c>
      <c r="F103" s="30"/>
      <c r="G103" s="213">
        <v>1035</v>
      </c>
      <c r="H103" s="152"/>
      <c r="I103" s="212">
        <v>1100</v>
      </c>
    </row>
    <row r="104" spans="2:9" ht="14.25">
      <c r="B104" s="28" t="s">
        <v>67</v>
      </c>
      <c r="C104" s="213">
        <v>14066.09</v>
      </c>
      <c r="D104" s="178"/>
      <c r="E104" s="212">
        <v>16000</v>
      </c>
      <c r="F104" s="30"/>
      <c r="G104" s="213">
        <v>17394.23</v>
      </c>
      <c r="H104" s="152"/>
      <c r="I104" s="212">
        <v>18000</v>
      </c>
    </row>
    <row r="105" spans="2:9" ht="15" thickBot="1">
      <c r="B105" s="29" t="s">
        <v>68</v>
      </c>
      <c r="C105" s="224">
        <f>15898.67+21318.01+6668.43</f>
        <v>43885.11</v>
      </c>
      <c r="D105" s="178"/>
      <c r="E105" s="119">
        <v>44000</v>
      </c>
      <c r="F105" s="30"/>
      <c r="G105" s="224">
        <f>21376.85+24055.56+7225.7</f>
        <v>52658.11</v>
      </c>
      <c r="H105" s="152"/>
      <c r="I105" s="119">
        <v>53500</v>
      </c>
    </row>
    <row r="106" spans="2:9" s="71" customFormat="1" ht="12.75" customHeight="1">
      <c r="B106" s="15"/>
      <c r="C106" s="17"/>
      <c r="D106" s="30"/>
      <c r="E106" s="17"/>
      <c r="F106" s="30"/>
      <c r="G106" s="17"/>
      <c r="H106" s="17"/>
      <c r="I106" s="17"/>
    </row>
    <row r="107" spans="2:9" s="71" customFormat="1" ht="22.5" customHeight="1">
      <c r="B107" s="30"/>
      <c r="C107" s="17"/>
      <c r="D107" s="30"/>
      <c r="E107" s="17"/>
      <c r="F107" s="30"/>
      <c r="G107" s="17"/>
      <c r="H107" s="17"/>
      <c r="I107" s="17"/>
    </row>
    <row r="108" spans="2:9" s="71" customFormat="1" ht="22.5" customHeight="1" thickBot="1">
      <c r="B108" s="30"/>
      <c r="C108" s="17"/>
      <c r="D108" s="30"/>
      <c r="E108" s="17"/>
      <c r="F108" s="30"/>
      <c r="G108" s="17"/>
      <c r="H108" s="17"/>
      <c r="I108" s="17"/>
    </row>
    <row r="109" spans="2:9" s="72" customFormat="1" ht="21" customHeight="1" thickBot="1">
      <c r="B109" s="81" t="s">
        <v>17</v>
      </c>
      <c r="C109" s="91">
        <f>+C111+C120</f>
        <v>1177569.68</v>
      </c>
      <c r="D109" s="186"/>
      <c r="E109" s="91">
        <f>+E111+E120</f>
        <v>782015</v>
      </c>
      <c r="F109" s="161"/>
      <c r="G109" s="91">
        <f>+G111+G120</f>
        <v>943652.8999999999</v>
      </c>
      <c r="H109" s="150"/>
      <c r="I109" s="91">
        <f>+I111+I120</f>
        <v>1138911</v>
      </c>
    </row>
    <row r="110" spans="2:9" s="73" customFormat="1" ht="16.5" customHeight="1" thickBot="1">
      <c r="B110" s="37"/>
      <c r="C110" s="35"/>
      <c r="D110" s="160"/>
      <c r="E110" s="35"/>
      <c r="F110" s="160"/>
      <c r="G110" s="35"/>
      <c r="H110" s="150"/>
      <c r="I110" s="35"/>
    </row>
    <row r="111" spans="2:9" s="72" customFormat="1" ht="17.25" customHeight="1" thickBot="1">
      <c r="B111" s="78" t="s">
        <v>7</v>
      </c>
      <c r="C111" s="92">
        <f>SUM(C112:C119)</f>
        <v>984299.7799999999</v>
      </c>
      <c r="D111" s="179"/>
      <c r="E111" s="92">
        <f>SUM(E112:E119)</f>
        <v>555700</v>
      </c>
      <c r="F111" s="156"/>
      <c r="G111" s="92">
        <f>SUM(G112:G119)</f>
        <v>705127.1599999999</v>
      </c>
      <c r="H111" s="151"/>
      <c r="I111" s="92">
        <f>SUM(I112:I119)</f>
        <v>853515</v>
      </c>
    </row>
    <row r="112" spans="2:9" ht="13.5" customHeight="1">
      <c r="B112" s="27" t="s">
        <v>69</v>
      </c>
      <c r="C112" s="215">
        <f>43246.52+1540.8</f>
        <v>44787.32</v>
      </c>
      <c r="D112" s="178"/>
      <c r="E112" s="210">
        <v>50000</v>
      </c>
      <c r="F112" s="30"/>
      <c r="G112" s="215">
        <f>45921.49+1671.34</f>
        <v>47592.829999999994</v>
      </c>
      <c r="H112" s="152"/>
      <c r="I112" s="210">
        <v>50000</v>
      </c>
    </row>
    <row r="113" spans="2:9" ht="14.25">
      <c r="B113" s="28" t="s">
        <v>70</v>
      </c>
      <c r="C113" s="213">
        <v>25976.77</v>
      </c>
      <c r="D113" s="178"/>
      <c r="E113" s="116">
        <v>25700</v>
      </c>
      <c r="F113" s="30"/>
      <c r="G113" s="213">
        <f>21403.98+1605.16</f>
        <v>23009.14</v>
      </c>
      <c r="H113" s="152"/>
      <c r="I113" s="116">
        <v>25000</v>
      </c>
    </row>
    <row r="114" spans="2:9" ht="14.25" customHeight="1">
      <c r="B114" s="106" t="s">
        <v>71</v>
      </c>
      <c r="C114" s="213">
        <f>59360.04+631503.74</f>
        <v>690863.78</v>
      </c>
      <c r="D114" s="187"/>
      <c r="E114" s="213">
        <v>150000</v>
      </c>
      <c r="F114" s="162"/>
      <c r="G114" s="213">
        <f>17068.21</f>
        <v>17068.21</v>
      </c>
      <c r="H114" s="153"/>
      <c r="I114" s="213">
        <v>220000</v>
      </c>
    </row>
    <row r="115" spans="2:9" ht="14.25" customHeight="1">
      <c r="B115" s="24" t="s">
        <v>72</v>
      </c>
      <c r="C115" s="213">
        <f>96378.41+2858.33+4708</f>
        <v>103944.74</v>
      </c>
      <c r="D115" s="188"/>
      <c r="E115" s="212">
        <v>250000</v>
      </c>
      <c r="F115" s="158"/>
      <c r="G115" s="213">
        <f>216279.8+110038.64+40474.91+69667.12+85005.25</f>
        <v>521465.72</v>
      </c>
      <c r="H115" s="152"/>
      <c r="I115" s="212">
        <v>452000</v>
      </c>
    </row>
    <row r="116" spans="2:9" ht="14.25">
      <c r="B116" s="38" t="s">
        <v>73</v>
      </c>
      <c r="C116" s="213">
        <f>11511.49</f>
        <v>11511.49</v>
      </c>
      <c r="D116" s="174"/>
      <c r="E116" s="116">
        <v>15000</v>
      </c>
      <c r="F116" s="33"/>
      <c r="G116" s="213">
        <v>15472.14</v>
      </c>
      <c r="H116" s="152"/>
      <c r="I116" s="116">
        <v>18000</v>
      </c>
    </row>
    <row r="117" spans="2:9" ht="14.25">
      <c r="B117" s="196" t="s">
        <v>74</v>
      </c>
      <c r="C117" s="213">
        <v>0</v>
      </c>
      <c r="D117" s="126"/>
      <c r="E117" s="117">
        <v>1500</v>
      </c>
      <c r="F117" s="163"/>
      <c r="G117" s="213">
        <v>16700.93</v>
      </c>
      <c r="H117" s="153"/>
      <c r="I117" s="117">
        <v>18000</v>
      </c>
    </row>
    <row r="118" spans="2:9" s="71" customFormat="1" ht="14.25" customHeight="1">
      <c r="B118" s="195" t="s">
        <v>87</v>
      </c>
      <c r="C118" s="214">
        <f>4800+36000+22604.85</f>
        <v>63404.85</v>
      </c>
      <c r="D118" s="172"/>
      <c r="E118" s="122">
        <v>63500</v>
      </c>
      <c r="F118" s="138"/>
      <c r="G118" s="214">
        <f>1600+36400.83+25817.36</f>
        <v>63818.19</v>
      </c>
      <c r="H118" s="153"/>
      <c r="I118" s="214">
        <v>70515</v>
      </c>
    </row>
    <row r="119" spans="2:9" s="71" customFormat="1" ht="14.25" customHeight="1" thickBot="1">
      <c r="B119" s="112" t="s">
        <v>125</v>
      </c>
      <c r="C119" s="224">
        <f>721.21+43089.62</f>
        <v>43810.83</v>
      </c>
      <c r="D119" s="172"/>
      <c r="E119" s="124">
        <v>0</v>
      </c>
      <c r="F119" s="138"/>
      <c r="G119" s="224">
        <v>0</v>
      </c>
      <c r="H119" s="153"/>
      <c r="I119" s="124">
        <v>0</v>
      </c>
    </row>
    <row r="120" spans="2:9" s="72" customFormat="1" ht="17.25" customHeight="1" thickBot="1">
      <c r="B120" s="78" t="s">
        <v>8</v>
      </c>
      <c r="C120" s="92">
        <f>SUM(C121:C135)</f>
        <v>193269.9</v>
      </c>
      <c r="D120" s="179"/>
      <c r="E120" s="92">
        <f>SUM(E121:E135)</f>
        <v>226315</v>
      </c>
      <c r="F120" s="156"/>
      <c r="G120" s="92">
        <f>SUM(G121:G135)</f>
        <v>238525.74</v>
      </c>
      <c r="H120" s="151"/>
      <c r="I120" s="92">
        <f>SUM(I121:I135)</f>
        <v>285396</v>
      </c>
    </row>
    <row r="121" spans="2:9" ht="14.25">
      <c r="B121" s="28" t="s">
        <v>75</v>
      </c>
      <c r="C121" s="215">
        <f>6564.7+610+1697.85</f>
        <v>8872.55</v>
      </c>
      <c r="D121" s="178"/>
      <c r="E121" s="210">
        <v>12000</v>
      </c>
      <c r="F121" s="30"/>
      <c r="G121" s="215">
        <f>5208.82+796.08+679+1962.41</f>
        <v>8646.31</v>
      </c>
      <c r="H121" s="152"/>
      <c r="I121" s="210">
        <v>12000</v>
      </c>
    </row>
    <row r="122" spans="2:9" ht="14.25">
      <c r="B122" s="28" t="s">
        <v>76</v>
      </c>
      <c r="C122" s="213">
        <f>96.67+35.88+7+153+20.22+20+361.97+1279.4+137.76</f>
        <v>2111.9</v>
      </c>
      <c r="D122" s="178"/>
      <c r="E122" s="116">
        <v>2000</v>
      </c>
      <c r="F122" s="30"/>
      <c r="G122" s="213">
        <f>81.16+0.48+106.74+0.75+3.95+1354.01+305.91+24.49+573.02+1279.4+133.1</f>
        <v>3863.01</v>
      </c>
      <c r="H122" s="152"/>
      <c r="I122" s="116">
        <v>7500</v>
      </c>
    </row>
    <row r="123" spans="2:9" ht="14.25">
      <c r="B123" s="28" t="s">
        <v>95</v>
      </c>
      <c r="C123" s="213">
        <f>365.31+2773.54+2321.48+851.91+135.45+71.8+672.96+266.07+3316.65+1272.53+2918.99+1852.33+388.64+241.5+561.17+621.56+203.09+165.98+240+195.66+77.04+114.88+72+73.31+494.4+266.82+380.45+1110.56+240+840+203.24+306.32+1360+224.69+483.96+1014.12+43.9+809.33+93.89+384.48</f>
        <v>28030.010000000006</v>
      </c>
      <c r="D123" s="178"/>
      <c r="E123" s="116">
        <v>28500</v>
      </c>
      <c r="F123" s="30"/>
      <c r="G123" s="213">
        <f>225.45+4623.49+500.04+2968.83+1853.05+130.2+201.99+253.61+921.24+672.96+242.57+4580.73+371.06+319.32+426.75+1452.58+659.56+165.9+681.42+977.05+205.01+86.16+780+286.83+77.04+86.16+138.85+276.08+480+270.24+141.74+630.82+220+2997.67+14.36+206.75+138.69+1360+253.32+483.96+680.65+39.42+417.36+82.67+1046.44+1190+910.06+96+164.96+168.48</f>
        <v>36157.520000000004</v>
      </c>
      <c r="H123" s="152"/>
      <c r="I123" s="116">
        <v>36500</v>
      </c>
    </row>
    <row r="124" spans="2:9" ht="14.25">
      <c r="B124" s="28" t="s">
        <v>77</v>
      </c>
      <c r="C124" s="213">
        <v>7945.64</v>
      </c>
      <c r="D124" s="178"/>
      <c r="E124" s="116">
        <v>8200</v>
      </c>
      <c r="F124" s="30"/>
      <c r="G124" s="213">
        <v>12059.24</v>
      </c>
      <c r="H124" s="152"/>
      <c r="I124" s="116">
        <v>12500</v>
      </c>
    </row>
    <row r="125" spans="2:9" ht="14.25">
      <c r="B125" s="28" t="s">
        <v>78</v>
      </c>
      <c r="C125" s="213">
        <v>3082.61</v>
      </c>
      <c r="D125" s="178"/>
      <c r="E125" s="116">
        <v>3200</v>
      </c>
      <c r="F125" s="30"/>
      <c r="G125" s="213">
        <f>2381.22+499.2</f>
        <v>2880.4199999999996</v>
      </c>
      <c r="H125" s="152"/>
      <c r="I125" s="116">
        <v>3200</v>
      </c>
    </row>
    <row r="126" spans="2:9" ht="14.25">
      <c r="B126" s="28" t="s">
        <v>79</v>
      </c>
      <c r="C126" s="213">
        <v>9436.73</v>
      </c>
      <c r="D126" s="178"/>
      <c r="E126" s="116">
        <v>13000</v>
      </c>
      <c r="F126" s="30"/>
      <c r="G126" s="213">
        <v>12780.32</v>
      </c>
      <c r="H126" s="152"/>
      <c r="I126" s="116">
        <v>13000</v>
      </c>
    </row>
    <row r="127" spans="2:9" ht="14.25">
      <c r="B127" s="28" t="s">
        <v>80</v>
      </c>
      <c r="C127" s="213">
        <f>11127.33+367.18+2794.74+785.99+172.8</f>
        <v>15248.039999999999</v>
      </c>
      <c r="D127" s="178"/>
      <c r="E127" s="116">
        <v>15500</v>
      </c>
      <c r="F127" s="30"/>
      <c r="G127" s="213">
        <f>12006.07+267.04+2375.87+351.44+123.45</f>
        <v>15123.87</v>
      </c>
      <c r="H127" s="152"/>
      <c r="I127" s="116">
        <v>15500</v>
      </c>
    </row>
    <row r="128" spans="2:9" ht="14.25">
      <c r="B128" s="24" t="s">
        <v>81</v>
      </c>
      <c r="C128" s="213">
        <v>346.15</v>
      </c>
      <c r="D128" s="188"/>
      <c r="E128" s="116">
        <v>400</v>
      </c>
      <c r="F128" s="158"/>
      <c r="G128" s="213">
        <v>260.95</v>
      </c>
      <c r="H128" s="152"/>
      <c r="I128" s="116">
        <v>400</v>
      </c>
    </row>
    <row r="129" spans="2:9" ht="14.25">
      <c r="B129" s="24" t="s">
        <v>82</v>
      </c>
      <c r="C129" s="213">
        <v>7464.23</v>
      </c>
      <c r="D129" s="188"/>
      <c r="E129" s="116">
        <v>7500</v>
      </c>
      <c r="F129" s="158"/>
      <c r="G129" s="213">
        <v>7102.53</v>
      </c>
      <c r="H129" s="152"/>
      <c r="I129" s="116">
        <v>8000</v>
      </c>
    </row>
    <row r="130" spans="2:9" ht="14.25">
      <c r="B130" s="24" t="s">
        <v>83</v>
      </c>
      <c r="C130" s="213">
        <v>4012.16</v>
      </c>
      <c r="D130" s="188"/>
      <c r="E130" s="116">
        <v>4100</v>
      </c>
      <c r="F130" s="158"/>
      <c r="G130" s="213">
        <v>2010.08</v>
      </c>
      <c r="H130" s="152"/>
      <c r="I130" s="116">
        <v>3000</v>
      </c>
    </row>
    <row r="131" spans="2:9" ht="14.25">
      <c r="B131" s="28" t="s">
        <v>88</v>
      </c>
      <c r="C131" s="213">
        <f>1470.93+3076.12</f>
        <v>4547.05</v>
      </c>
      <c r="D131" s="178"/>
      <c r="E131" s="116">
        <v>4500</v>
      </c>
      <c r="F131" s="30"/>
      <c r="G131" s="213">
        <f>268.24+1899.06</f>
        <v>2167.3</v>
      </c>
      <c r="H131" s="152"/>
      <c r="I131" s="116">
        <v>4000</v>
      </c>
    </row>
    <row r="132" spans="2:9" ht="14.25">
      <c r="B132" s="28" t="s">
        <v>84</v>
      </c>
      <c r="C132" s="213">
        <f>4544.69-2000</f>
        <v>2544.6899999999996</v>
      </c>
      <c r="D132" s="178"/>
      <c r="E132" s="116">
        <v>6000</v>
      </c>
      <c r="F132" s="30"/>
      <c r="G132" s="213">
        <v>1022.35</v>
      </c>
      <c r="H132" s="152"/>
      <c r="I132" s="116">
        <v>5000</v>
      </c>
    </row>
    <row r="133" spans="2:9" ht="14.25">
      <c r="B133" s="28" t="s">
        <v>165</v>
      </c>
      <c r="C133" s="214">
        <v>3331.6</v>
      </c>
      <c r="D133" s="178"/>
      <c r="E133" s="121">
        <v>3605</v>
      </c>
      <c r="F133" s="30"/>
      <c r="G133" s="214">
        <v>4777.07</v>
      </c>
      <c r="H133" s="152"/>
      <c r="I133" s="121">
        <v>4800</v>
      </c>
    </row>
    <row r="134" spans="2:9" ht="14.25">
      <c r="B134" s="28" t="s">
        <v>140</v>
      </c>
      <c r="C134" s="214">
        <f>12500+1950+1200+1200+450+4950+2800+4200+4800+4200</f>
        <v>38250</v>
      </c>
      <c r="D134" s="178"/>
      <c r="E134" s="217">
        <v>55810</v>
      </c>
      <c r="F134" s="30"/>
      <c r="G134" s="214">
        <f>14000+2450+1800+1200+1200+2700+2700+2800+4200+4800+4200+3850+1200+4800+7000+1000+500</f>
        <v>60400</v>
      </c>
      <c r="H134" s="152"/>
      <c r="I134" s="217">
        <v>89996</v>
      </c>
    </row>
    <row r="135" spans="2:9" ht="15" thickBot="1">
      <c r="B135" s="29" t="s">
        <v>143</v>
      </c>
      <c r="C135" s="124">
        <f>3600+737.32+3493.8+1364.25+4480.32+2549.09+1258.32+10419.22+2885.91+18068.96+2725.75+6463.6</f>
        <v>58046.54</v>
      </c>
      <c r="D135" s="178"/>
      <c r="E135" s="119">
        <v>62000</v>
      </c>
      <c r="F135" s="30"/>
      <c r="G135" s="224">
        <f>3600+3493.8+1364.25+4695.36+2860.17+911.64+1784.88+18061.38+78+4900+2731.75+24793.54</f>
        <v>69274.77</v>
      </c>
      <c r="H135" s="152"/>
      <c r="I135" s="119">
        <v>70000</v>
      </c>
    </row>
    <row r="136" spans="2:9" s="71" customFormat="1" ht="29.25" customHeight="1" thickBot="1">
      <c r="B136" s="23"/>
      <c r="C136" s="93"/>
      <c r="D136" s="30"/>
      <c r="E136" s="93"/>
      <c r="F136" s="30"/>
      <c r="G136" s="93"/>
      <c r="H136" s="17"/>
      <c r="I136" s="93"/>
    </row>
    <row r="137" spans="2:9" s="74" customFormat="1" ht="23.25" customHeight="1" thickBot="1">
      <c r="B137" s="204" t="s">
        <v>50</v>
      </c>
      <c r="C137" s="94">
        <f>C8+C85+C95+C100+C109</f>
        <v>4758125.04</v>
      </c>
      <c r="D137" s="189"/>
      <c r="E137" s="94">
        <f>E8+E85+E95+E100+E109</f>
        <v>4679489</v>
      </c>
      <c r="F137" s="164"/>
      <c r="G137" s="94">
        <f>G8+G85+G95+G100+G109</f>
        <v>4889660.149999999</v>
      </c>
      <c r="H137" s="150"/>
      <c r="I137" s="94">
        <f>I8+I85+I95+I100+I109</f>
        <v>5714745</v>
      </c>
    </row>
    <row r="138" spans="2:9" ht="61.5" customHeight="1">
      <c r="B138" s="71"/>
      <c r="C138" s="18"/>
      <c r="E138" s="18"/>
      <c r="G138" s="18"/>
      <c r="H138" s="18"/>
      <c r="I138" s="18"/>
    </row>
    <row r="139" spans="2:9" ht="26.25" customHeight="1" thickBot="1">
      <c r="B139" s="71"/>
      <c r="C139" s="18"/>
      <c r="E139" s="18"/>
      <c r="G139" s="18"/>
      <c r="H139" s="18"/>
      <c r="I139" s="18"/>
    </row>
    <row r="140" spans="2:9" s="72" customFormat="1" ht="21" customHeight="1" thickBot="1">
      <c r="B140" s="82" t="s">
        <v>9</v>
      </c>
      <c r="C140" s="91">
        <f>SUM(C142:C154)</f>
        <v>656668.0900000001</v>
      </c>
      <c r="D140" s="190"/>
      <c r="E140" s="91">
        <f>SUM(E142:E154)</f>
        <v>837511</v>
      </c>
      <c r="F140" s="156"/>
      <c r="G140" s="91">
        <f>SUM(G142:G154)</f>
        <v>690771.38</v>
      </c>
      <c r="H140" s="150"/>
      <c r="I140" s="91">
        <f>SUM(I142:I154)</f>
        <v>2532035</v>
      </c>
    </row>
    <row r="141" spans="2:9" ht="9" customHeight="1" thickBot="1">
      <c r="B141" s="30"/>
      <c r="C141" s="17"/>
      <c r="D141" s="30"/>
      <c r="E141" s="17"/>
      <c r="F141" s="30"/>
      <c r="G141" s="17"/>
      <c r="H141" s="17"/>
      <c r="I141" s="17"/>
    </row>
    <row r="142" spans="2:9" ht="15" customHeight="1">
      <c r="B142" s="39" t="s">
        <v>85</v>
      </c>
      <c r="C142" s="215">
        <v>188825.88</v>
      </c>
      <c r="D142" s="178"/>
      <c r="E142" s="210">
        <v>500000</v>
      </c>
      <c r="F142" s="30"/>
      <c r="G142" s="215">
        <f>41767.07+8774+14193.98</f>
        <v>64735.05</v>
      </c>
      <c r="H142" s="152"/>
      <c r="I142" s="210">
        <f>745000</f>
        <v>745000</v>
      </c>
    </row>
    <row r="143" spans="2:9" ht="15" customHeight="1">
      <c r="B143" s="106" t="s">
        <v>142</v>
      </c>
      <c r="C143" s="214">
        <f>1611.21+18099.48+5713.08-2423.77</f>
        <v>22999.999999999996</v>
      </c>
      <c r="D143" s="188"/>
      <c r="E143" s="216">
        <v>23000</v>
      </c>
      <c r="F143" s="158"/>
      <c r="G143" s="214">
        <f>2023.11+21362.85+6742.78-4794.36</f>
        <v>25334.379999999997</v>
      </c>
      <c r="H143" s="152"/>
      <c r="I143" s="216">
        <v>25000</v>
      </c>
    </row>
    <row r="144" spans="2:9" ht="15" customHeight="1">
      <c r="B144" s="106" t="s">
        <v>175</v>
      </c>
      <c r="C144" s="214">
        <v>11727</v>
      </c>
      <c r="D144" s="188"/>
      <c r="E144" s="216">
        <v>0</v>
      </c>
      <c r="F144" s="158"/>
      <c r="G144" s="214">
        <f>15768.15+67565+65308.68</f>
        <v>148641.83</v>
      </c>
      <c r="H144" s="152"/>
      <c r="I144" s="216">
        <v>633500</v>
      </c>
    </row>
    <row r="145" spans="2:9" ht="15" customHeight="1">
      <c r="B145" s="106" t="s">
        <v>176</v>
      </c>
      <c r="C145" s="214">
        <v>266186.14</v>
      </c>
      <c r="D145" s="188"/>
      <c r="E145" s="113">
        <v>257985</v>
      </c>
      <c r="F145" s="158"/>
      <c r="G145" s="214">
        <v>263283.46</v>
      </c>
      <c r="H145" s="152"/>
      <c r="I145" s="113">
        <v>255938</v>
      </c>
    </row>
    <row r="146" spans="2:9" ht="15" customHeight="1">
      <c r="B146" s="106" t="s">
        <v>177</v>
      </c>
      <c r="C146" s="214">
        <v>3424</v>
      </c>
      <c r="D146" s="188"/>
      <c r="E146" s="216">
        <v>0</v>
      </c>
      <c r="F146" s="158"/>
      <c r="G146" s="214">
        <v>0</v>
      </c>
      <c r="H146" s="152"/>
      <c r="I146" s="216">
        <v>750000</v>
      </c>
    </row>
    <row r="147" spans="2:9" ht="15" customHeight="1">
      <c r="B147" s="106" t="s">
        <v>178</v>
      </c>
      <c r="C147" s="226">
        <v>0</v>
      </c>
      <c r="D147" s="188"/>
      <c r="E147" s="216">
        <v>30000</v>
      </c>
      <c r="F147" s="158"/>
      <c r="G147" s="228">
        <v>0</v>
      </c>
      <c r="H147" s="152"/>
      <c r="I147" s="216">
        <v>0</v>
      </c>
    </row>
    <row r="148" spans="2:9" ht="15" customHeight="1">
      <c r="B148" s="106" t="s">
        <v>198</v>
      </c>
      <c r="C148" s="225">
        <v>0</v>
      </c>
      <c r="D148" s="188"/>
      <c r="E148" s="216">
        <v>10000</v>
      </c>
      <c r="F148" s="158"/>
      <c r="G148" s="147">
        <v>0</v>
      </c>
      <c r="H148" s="152"/>
      <c r="I148" s="216">
        <v>100000</v>
      </c>
    </row>
    <row r="149" spans="2:9" ht="14.25">
      <c r="B149" s="106" t="s">
        <v>179</v>
      </c>
      <c r="C149" s="225">
        <v>0</v>
      </c>
      <c r="D149" s="188"/>
      <c r="E149" s="217">
        <v>0</v>
      </c>
      <c r="F149" s="158"/>
      <c r="G149" s="147">
        <v>0</v>
      </c>
      <c r="H149" s="152"/>
      <c r="I149" s="217">
        <v>0</v>
      </c>
    </row>
    <row r="150" spans="2:9" ht="14.25">
      <c r="B150" s="196" t="s">
        <v>180</v>
      </c>
      <c r="C150" s="214">
        <v>2423.77</v>
      </c>
      <c r="D150" s="188"/>
      <c r="E150" s="217">
        <v>0</v>
      </c>
      <c r="F150" s="158"/>
      <c r="G150" s="147">
        <v>2000</v>
      </c>
      <c r="H150" s="152"/>
      <c r="I150" s="217">
        <v>2000</v>
      </c>
    </row>
    <row r="151" spans="2:9" ht="14.25">
      <c r="B151" s="106" t="s">
        <v>181</v>
      </c>
      <c r="C151" s="147">
        <v>0</v>
      </c>
      <c r="D151" s="188"/>
      <c r="E151" s="217">
        <v>5000</v>
      </c>
      <c r="F151" s="158"/>
      <c r="G151" s="147">
        <v>0</v>
      </c>
      <c r="H151" s="152"/>
      <c r="I151" s="217">
        <v>5000</v>
      </c>
    </row>
    <row r="152" spans="2:9" ht="14.25">
      <c r="B152" s="106" t="s">
        <v>194</v>
      </c>
      <c r="C152" s="147">
        <v>0</v>
      </c>
      <c r="D152" s="188"/>
      <c r="E152" s="217">
        <v>0</v>
      </c>
      <c r="F152" s="158"/>
      <c r="G152" s="214">
        <f>46460.67+9309+1819+53424.72+25466+12342.7+5586+2229.9</f>
        <v>156637.99000000002</v>
      </c>
      <c r="H152" s="152"/>
      <c r="I152" s="217">
        <v>0</v>
      </c>
    </row>
    <row r="153" spans="2:9" ht="14.25">
      <c r="B153" s="106" t="s">
        <v>192</v>
      </c>
      <c r="C153" s="214">
        <f>161081.3</f>
        <v>161081.3</v>
      </c>
      <c r="D153" s="188"/>
      <c r="E153" s="116">
        <v>10000</v>
      </c>
      <c r="F153" s="158"/>
      <c r="G153" s="214">
        <f>3424+4244.67+22470</f>
        <v>30138.67</v>
      </c>
      <c r="H153" s="152"/>
      <c r="I153" s="212">
        <v>15000</v>
      </c>
    </row>
    <row r="154" spans="2:9" ht="15.75" thickBot="1">
      <c r="B154" s="129" t="s">
        <v>193</v>
      </c>
      <c r="C154" s="119"/>
      <c r="D154" s="191"/>
      <c r="E154" s="146">
        <v>1526</v>
      </c>
      <c r="F154" s="33"/>
      <c r="G154" s="229"/>
      <c r="H154" s="152"/>
      <c r="I154" s="146">
        <v>597</v>
      </c>
    </row>
    <row r="155" spans="2:9" s="71" customFormat="1" ht="9" customHeight="1" thickBot="1">
      <c r="B155" s="33" t="s">
        <v>10</v>
      </c>
      <c r="C155" s="17"/>
      <c r="D155" s="33"/>
      <c r="E155" s="17"/>
      <c r="F155" s="33"/>
      <c r="G155" s="17"/>
      <c r="H155" s="17"/>
      <c r="I155" s="17" t="s">
        <v>219</v>
      </c>
    </row>
    <row r="156" spans="2:9" s="75" customFormat="1" ht="27" customHeight="1" thickBot="1">
      <c r="B156" s="205" t="s">
        <v>51</v>
      </c>
      <c r="C156" s="227">
        <f>+C137+C140</f>
        <v>5414793.13</v>
      </c>
      <c r="D156" s="198"/>
      <c r="E156" s="201">
        <f>+E137+E140</f>
        <v>5517000</v>
      </c>
      <c r="F156" s="199"/>
      <c r="G156" s="227">
        <f>+G137+G140</f>
        <v>5580431.529999999</v>
      </c>
      <c r="H156" s="200"/>
      <c r="I156" s="201">
        <f>+I137+I140</f>
        <v>8246780</v>
      </c>
    </row>
  </sheetData>
  <sheetProtection/>
  <mergeCells count="8">
    <mergeCell ref="I6:I7"/>
    <mergeCell ref="B4:I4"/>
    <mergeCell ref="C6:C7"/>
    <mergeCell ref="B1:I1"/>
    <mergeCell ref="B2:I2"/>
    <mergeCell ref="B3:I3"/>
    <mergeCell ref="E6:E7"/>
    <mergeCell ref="G6:G7"/>
  </mergeCells>
  <printOptions/>
  <pageMargins left="0.5511811023622047" right="0.1968503937007874" top="0.4724409448818898" bottom="0.31496062992125984" header="0.2755905511811024" footer="0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84.421875" style="0" customWidth="1"/>
    <col min="2" max="2" width="0.71875" style="0" customWidth="1"/>
    <col min="3" max="3" width="17.57421875" style="0" bestFit="1" customWidth="1"/>
    <col min="4" max="4" width="19.28125" style="0" bestFit="1" customWidth="1"/>
    <col min="5" max="5" width="0.71875" style="0" customWidth="1"/>
    <col min="6" max="6" width="18.28125" style="0" customWidth="1"/>
    <col min="7" max="7" width="13.7109375" style="44" bestFit="1" customWidth="1"/>
  </cols>
  <sheetData>
    <row r="1" ht="6.75" customHeight="1"/>
    <row r="2" spans="1:7" s="99" customFormat="1" ht="33.75">
      <c r="A2" s="277" t="s">
        <v>27</v>
      </c>
      <c r="B2" s="277"/>
      <c r="C2" s="277"/>
      <c r="D2" s="277"/>
      <c r="E2" s="277"/>
      <c r="F2" s="277"/>
      <c r="G2" s="277"/>
    </row>
    <row r="3" spans="1:7" s="99" customFormat="1" ht="23.25">
      <c r="A3" s="273" t="s">
        <v>28</v>
      </c>
      <c r="B3" s="273"/>
      <c r="C3" s="273"/>
      <c r="D3" s="273"/>
      <c r="E3" s="273"/>
      <c r="F3" s="273"/>
      <c r="G3" s="273"/>
    </row>
    <row r="4" spans="1:7" s="99" customFormat="1" ht="23.25">
      <c r="A4" s="274" t="s">
        <v>169</v>
      </c>
      <c r="B4" s="274"/>
      <c r="C4" s="274"/>
      <c r="D4" s="274"/>
      <c r="E4" s="274"/>
      <c r="F4" s="274"/>
      <c r="G4" s="274"/>
    </row>
    <row r="5" spans="1:7" ht="18.75">
      <c r="A5" s="278" t="s">
        <v>38</v>
      </c>
      <c r="B5" s="278"/>
      <c r="C5" s="278"/>
      <c r="D5" s="278"/>
      <c r="E5" s="278"/>
      <c r="F5" s="278"/>
      <c r="G5" s="278"/>
    </row>
    <row r="6" spans="1:7" ht="23.25" customHeight="1">
      <c r="A6" s="65"/>
      <c r="B6" s="65"/>
      <c r="C6" s="65"/>
      <c r="D6" s="65"/>
      <c r="E6" s="65"/>
      <c r="F6" s="65"/>
      <c r="G6" s="65"/>
    </row>
    <row r="7" ht="13.5" thickBot="1"/>
    <row r="8" spans="1:18" ht="23.25">
      <c r="A8" s="52" t="s">
        <v>30</v>
      </c>
      <c r="B8" s="59"/>
      <c r="C8" s="48" t="s">
        <v>86</v>
      </c>
      <c r="D8" s="48" t="s">
        <v>25</v>
      </c>
      <c r="E8" s="54"/>
      <c r="F8" s="63" t="s">
        <v>19</v>
      </c>
      <c r="G8" s="49" t="s">
        <v>20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2" ht="24" thickBot="1">
      <c r="A9" s="52" t="s">
        <v>31</v>
      </c>
      <c r="B9" s="60"/>
      <c r="C9" s="50">
        <v>2022</v>
      </c>
      <c r="D9" s="50">
        <v>2023</v>
      </c>
      <c r="E9" s="55"/>
      <c r="F9" s="64" t="s">
        <v>21</v>
      </c>
      <c r="G9" s="51" t="s">
        <v>22</v>
      </c>
      <c r="L9" s="1"/>
    </row>
    <row r="10" spans="1:7" ht="18">
      <c r="A10" s="45" t="s">
        <v>32</v>
      </c>
      <c r="B10" s="61"/>
      <c r="C10" s="258">
        <f>+'Gastos '!G8</f>
        <v>1411068.78</v>
      </c>
      <c r="D10" s="258">
        <f>+'Gastos '!I8</f>
        <v>1893434</v>
      </c>
      <c r="E10" s="56"/>
      <c r="F10" s="237">
        <f aca="true" t="shared" si="0" ref="F10:F15">+D10-C10</f>
        <v>482365.22</v>
      </c>
      <c r="G10" s="238">
        <f aca="true" t="shared" si="1" ref="G10:G16">+F10/C10</f>
        <v>0.34184387525036164</v>
      </c>
    </row>
    <row r="11" spans="1:7" ht="18">
      <c r="A11" s="46" t="s">
        <v>33</v>
      </c>
      <c r="B11" s="61"/>
      <c r="C11" s="259">
        <f>+'Gastos '!G85</f>
        <v>1901223.6999999997</v>
      </c>
      <c r="D11" s="259">
        <f>+'Gastos '!I85</f>
        <v>2065000</v>
      </c>
      <c r="E11" s="57"/>
      <c r="F11" s="95">
        <f t="shared" si="0"/>
        <v>163776.30000000028</v>
      </c>
      <c r="G11" s="96">
        <f t="shared" si="1"/>
        <v>0.08614257228121042</v>
      </c>
    </row>
    <row r="12" spans="1:7" ht="18">
      <c r="A12" s="46" t="s">
        <v>34</v>
      </c>
      <c r="B12" s="61"/>
      <c r="C12" s="259">
        <f>+'Gastos '!G95</f>
        <v>406627.43</v>
      </c>
      <c r="D12" s="259">
        <f>+'Gastos '!I95</f>
        <v>504800</v>
      </c>
      <c r="E12" s="57"/>
      <c r="F12" s="95">
        <f t="shared" si="0"/>
        <v>98172.57</v>
      </c>
      <c r="G12" s="96">
        <f t="shared" si="1"/>
        <v>0.2414312531744354</v>
      </c>
    </row>
    <row r="13" spans="1:7" ht="18">
      <c r="A13" s="46" t="s">
        <v>6</v>
      </c>
      <c r="B13" s="61"/>
      <c r="C13" s="259">
        <f>+'Gastos '!G100</f>
        <v>227087.34000000003</v>
      </c>
      <c r="D13" s="259">
        <f>+'Gastos '!I100</f>
        <v>112600</v>
      </c>
      <c r="E13" s="57"/>
      <c r="F13" s="235">
        <f t="shared" si="0"/>
        <v>-114487.34000000003</v>
      </c>
      <c r="G13" s="236">
        <f t="shared" si="1"/>
        <v>-0.5041555376887149</v>
      </c>
    </row>
    <row r="14" spans="1:7" ht="18">
      <c r="A14" s="46" t="s">
        <v>37</v>
      </c>
      <c r="B14" s="61"/>
      <c r="C14" s="259">
        <f>+'Gastos '!G109</f>
        <v>943652.8999999999</v>
      </c>
      <c r="D14" s="259">
        <f>+'Gastos '!I109</f>
        <v>1138911</v>
      </c>
      <c r="E14" s="57"/>
      <c r="F14" s="256">
        <f t="shared" si="0"/>
        <v>195258.1000000001</v>
      </c>
      <c r="G14" s="257">
        <f t="shared" si="1"/>
        <v>0.20691728918546226</v>
      </c>
    </row>
    <row r="15" spans="1:7" ht="18.75" thickBot="1">
      <c r="A15" s="58" t="s">
        <v>9</v>
      </c>
      <c r="B15" s="61"/>
      <c r="C15" s="260">
        <f>+'Gastos '!G140</f>
        <v>690771.38</v>
      </c>
      <c r="D15" s="260">
        <f>+'Gastos '!I140</f>
        <v>2532035</v>
      </c>
      <c r="E15" s="57"/>
      <c r="F15" s="239">
        <f t="shared" si="0"/>
        <v>1841263.62</v>
      </c>
      <c r="G15" s="240">
        <f t="shared" si="1"/>
        <v>2.665518105281085</v>
      </c>
    </row>
    <row r="16" spans="1:7" ht="18.75" thickBot="1">
      <c r="A16" s="67" t="s">
        <v>24</v>
      </c>
      <c r="B16" s="62"/>
      <c r="C16" s="262">
        <f>SUM(C10:C15)</f>
        <v>5580431.529999999</v>
      </c>
      <c r="D16" s="263">
        <f>SUM(D10:D15)</f>
        <v>8246780</v>
      </c>
      <c r="E16" s="53"/>
      <c r="F16" s="207">
        <f>SUM(F10:F15)</f>
        <v>2666348.4700000007</v>
      </c>
      <c r="G16" s="208">
        <f t="shared" si="1"/>
        <v>0.47780327662222943</v>
      </c>
    </row>
    <row r="17" ht="6.75" customHeight="1"/>
    <row r="18" ht="6.75" customHeight="1"/>
    <row r="19" spans="1:7" ht="23.25">
      <c r="A19" s="276"/>
      <c r="B19" s="276"/>
      <c r="C19" s="276"/>
      <c r="D19" s="276"/>
      <c r="E19" s="276"/>
      <c r="F19" s="276"/>
      <c r="G19" s="276"/>
    </row>
    <row r="20" spans="6:7" ht="12.75">
      <c r="F20" s="99"/>
      <c r="G20" s="100"/>
    </row>
  </sheetData>
  <sheetProtection/>
  <mergeCells count="5">
    <mergeCell ref="A19:G19"/>
    <mergeCell ref="A2:G2"/>
    <mergeCell ref="A3:G3"/>
    <mergeCell ref="A4:G4"/>
    <mergeCell ref="A5:G5"/>
  </mergeCells>
  <printOptions/>
  <pageMargins left="0.26" right="0.1968503937007874" top="0.58" bottom="0.3937007874015748" header="1.01" footer="0.1968503937007874"/>
  <pageSetup fitToHeight="1" fitToWidth="1" horizontalDpi="600" verticalDpi="600" orientation="landscape" paperSize="9" scale="94" r:id="rId2"/>
  <headerFooter alignWithMargins="0">
    <oddHeader xml:space="preserve">&amp;C&amp;"Rockwell,Negrita"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OBISPADO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OBISPADO DE CANARIAS</dc:creator>
  <cp:keywords/>
  <dc:description/>
  <cp:lastModifiedBy>miryam montesdeoca</cp:lastModifiedBy>
  <cp:lastPrinted>2023-03-03T06:57:28Z</cp:lastPrinted>
  <dcterms:created xsi:type="dcterms:W3CDTF">2001-12-10T17:13:30Z</dcterms:created>
  <dcterms:modified xsi:type="dcterms:W3CDTF">2024-04-23T12:55:34Z</dcterms:modified>
  <cp:category/>
  <cp:version/>
  <cp:contentType/>
  <cp:contentStatus/>
</cp:coreProperties>
</file>